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55 заседание (28.04.2026)\516 О внес. изм. в бюджет\"/>
    </mc:Choice>
  </mc:AlternateContent>
  <xr:revisionPtr revIDLastSave="0" documentId="8_{BC754BA7-695F-4521-A9D8-F0874D0A10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приложение " sheetId="11" r:id="rId1"/>
  </sheets>
  <definedNames>
    <definedName name="_xlnm._FilterDatabase" localSheetId="0" hidden="1">'приложение '!$A$15:$IR$15</definedName>
    <definedName name="_xlnm.Print_Titles" localSheetId="0">'приложение '!$15:$15</definedName>
    <definedName name="_xlnm.Print_Area" localSheetId="0">'приложение '!$B$1:$I$118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1" l="1"/>
  <c r="G96" i="11" l="1"/>
  <c r="G94" i="11"/>
  <c r="G83" i="11"/>
  <c r="G80" i="11"/>
  <c r="G36" i="11" l="1"/>
  <c r="G38" i="11"/>
  <c r="G103" i="11"/>
  <c r="I61" i="11" l="1"/>
  <c r="I58" i="11" s="1"/>
  <c r="F50" i="11"/>
  <c r="G49" i="11"/>
  <c r="F49" i="11" s="1"/>
  <c r="G48" i="11" l="1"/>
  <c r="F48" i="11" s="1"/>
  <c r="F99" i="11"/>
  <c r="G98" i="11"/>
  <c r="G97" i="11" s="1"/>
  <c r="F97" i="11" s="1"/>
  <c r="G87" i="11"/>
  <c r="F79" i="11"/>
  <c r="G76" i="11"/>
  <c r="G74" i="11"/>
  <c r="G73" i="11"/>
  <c r="G69" i="11"/>
  <c r="G68" i="11"/>
  <c r="F64" i="11"/>
  <c r="H63" i="11"/>
  <c r="F63" i="11" s="1"/>
  <c r="G60" i="11"/>
  <c r="G56" i="11"/>
  <c r="F54" i="11"/>
  <c r="F53" i="11"/>
  <c r="G52" i="11"/>
  <c r="F52" i="11" s="1"/>
  <c r="H39" i="11"/>
  <c r="H32" i="11" s="1"/>
  <c r="I39" i="11"/>
  <c r="F47" i="11"/>
  <c r="F46" i="11"/>
  <c r="F45" i="11"/>
  <c r="G44" i="11"/>
  <c r="G43" i="11"/>
  <c r="G41" i="11"/>
  <c r="G40" i="11"/>
  <c r="G39" i="11" s="1"/>
  <c r="F38" i="11"/>
  <c r="G37" i="11"/>
  <c r="G33" i="11" s="1"/>
  <c r="G27" i="11"/>
  <c r="F30" i="11"/>
  <c r="F29" i="11"/>
  <c r="F28" i="11"/>
  <c r="F24" i="11"/>
  <c r="H61" i="11" l="1"/>
  <c r="H58" i="11" s="1"/>
  <c r="F98" i="11"/>
  <c r="F113" i="11" l="1"/>
  <c r="F112" i="11"/>
  <c r="F111" i="11"/>
  <c r="H110" i="11"/>
  <c r="H109" i="11" s="1"/>
  <c r="H108" i="11" s="1"/>
  <c r="G110" i="11"/>
  <c r="G109" i="11" s="1"/>
  <c r="G108" i="11" s="1"/>
  <c r="F110" i="11" l="1"/>
  <c r="F109" i="11"/>
  <c r="F108" i="11"/>
  <c r="H117" i="11" l="1"/>
  <c r="H71" i="11" l="1"/>
  <c r="H25" i="11" l="1"/>
  <c r="H22" i="11" s="1"/>
  <c r="F78" i="11"/>
  <c r="G93" i="11"/>
  <c r="I84" i="11" l="1"/>
  <c r="I81" i="11" s="1"/>
  <c r="G84" i="11"/>
  <c r="F87" i="11" l="1"/>
  <c r="F37" i="11" l="1"/>
  <c r="F35" i="11" l="1"/>
  <c r="F34" i="11"/>
  <c r="G23" i="11" l="1"/>
  <c r="G22" i="11" s="1"/>
  <c r="G102" i="11" l="1"/>
  <c r="I70" i="11" l="1"/>
  <c r="G71" i="11"/>
  <c r="F71" i="11" l="1"/>
  <c r="F88" i="11"/>
  <c r="F31" i="11"/>
  <c r="F93" i="11"/>
  <c r="G62" i="11"/>
  <c r="F62" i="11" s="1"/>
  <c r="G67" i="11"/>
  <c r="G20" i="11"/>
  <c r="F83" i="11" l="1"/>
  <c r="G82" i="11"/>
  <c r="F82" i="11" s="1"/>
  <c r="H116" i="11" l="1"/>
  <c r="H115" i="11" s="1"/>
  <c r="H114" i="11" s="1"/>
  <c r="H86" i="11" l="1"/>
  <c r="F85" i="11"/>
  <c r="H72" i="11"/>
  <c r="H70" i="11" s="1"/>
  <c r="H84" i="11" l="1"/>
  <c r="F84" i="11" s="1"/>
  <c r="F86" i="11"/>
  <c r="H81" i="11" l="1"/>
  <c r="F117" i="11"/>
  <c r="G116" i="11"/>
  <c r="G115" i="11" s="1"/>
  <c r="G114" i="11" s="1"/>
  <c r="F114" i="11" s="1"/>
  <c r="F116" i="11" l="1"/>
  <c r="F115" i="11"/>
  <c r="F94" i="11" l="1"/>
  <c r="G95" i="11" l="1"/>
  <c r="F42" i="11"/>
  <c r="F43" i="11"/>
  <c r="F44" i="11"/>
  <c r="F41" i="11"/>
  <c r="F75" i="11"/>
  <c r="F76" i="11"/>
  <c r="F77" i="11"/>
  <c r="F74" i="11"/>
  <c r="G72" i="11" l="1"/>
  <c r="G70" i="11" s="1"/>
  <c r="G92" i="11" l="1"/>
  <c r="G91" i="11" s="1"/>
  <c r="I66" i="11"/>
  <c r="I57" i="11" s="1"/>
  <c r="I32" i="11" l="1"/>
  <c r="I17" i="11" s="1"/>
  <c r="I16" i="11" l="1"/>
  <c r="I118" i="11" s="1"/>
  <c r="F107" i="11"/>
  <c r="F106" i="11"/>
  <c r="H105" i="11"/>
  <c r="H104" i="11" s="1"/>
  <c r="H100" i="11" s="1"/>
  <c r="G105" i="11"/>
  <c r="G104" i="11" s="1"/>
  <c r="F103" i="11"/>
  <c r="F102" i="11"/>
  <c r="F96" i="11"/>
  <c r="G90" i="11"/>
  <c r="G89" i="11" s="1"/>
  <c r="G81" i="11" s="1"/>
  <c r="F80" i="11"/>
  <c r="F72" i="11"/>
  <c r="F69" i="11"/>
  <c r="F68" i="11"/>
  <c r="H66" i="11"/>
  <c r="H57" i="11" s="1"/>
  <c r="G65" i="11"/>
  <c r="F65" i="11" s="1"/>
  <c r="F60" i="11"/>
  <c r="G59" i="11"/>
  <c r="F59" i="11" s="1"/>
  <c r="F56" i="11"/>
  <c r="G55" i="11"/>
  <c r="G51" i="11" s="1"/>
  <c r="F40" i="11"/>
  <c r="F36" i="11"/>
  <c r="F27" i="11"/>
  <c r="F26" i="11"/>
  <c r="F25" i="11"/>
  <c r="F23" i="11"/>
  <c r="H21" i="11"/>
  <c r="H17" i="11" s="1"/>
  <c r="G19" i="11"/>
  <c r="F81" i="11" l="1"/>
  <c r="F55" i="11"/>
  <c r="F51" i="11"/>
  <c r="H16" i="11"/>
  <c r="H118" i="11" s="1"/>
  <c r="G21" i="11"/>
  <c r="F21" i="11" s="1"/>
  <c r="F39" i="11"/>
  <c r="F73" i="11"/>
  <c r="F70" i="11"/>
  <c r="F33" i="11"/>
  <c r="G61" i="11"/>
  <c r="G101" i="11"/>
  <c r="F101" i="11" s="1"/>
  <c r="F91" i="11"/>
  <c r="F95" i="11"/>
  <c r="G18" i="11"/>
  <c r="F19" i="11"/>
  <c r="F104" i="11"/>
  <c r="F89" i="11"/>
  <c r="F105" i="11"/>
  <c r="F90" i="11"/>
  <c r="F92" i="11"/>
  <c r="F20" i="11"/>
  <c r="G58" i="11" l="1"/>
  <c r="F58" i="11" s="1"/>
  <c r="F61" i="11"/>
  <c r="G100" i="11"/>
  <c r="F100" i="11" s="1"/>
  <c r="G66" i="11"/>
  <c r="F66" i="11" s="1"/>
  <c r="F22" i="11"/>
  <c r="G32" i="11"/>
  <c r="F67" i="11"/>
  <c r="F18" i="11"/>
  <c r="G57" i="11" l="1"/>
  <c r="F57" i="11" s="1"/>
  <c r="F32" i="11"/>
  <c r="G17" i="11"/>
  <c r="G16" i="11" l="1"/>
  <c r="G118" i="11" s="1"/>
  <c r="F17" i="11"/>
  <c r="F118" i="11" l="1"/>
  <c r="F16" i="11"/>
</calcChain>
</file>

<file path=xl/sharedStrings.xml><?xml version="1.0" encoding="utf-8"?>
<sst xmlns="http://schemas.openxmlformats.org/spreadsheetml/2006/main" count="301" uniqueCount="153">
  <si>
    <t>Расходы</t>
  </si>
  <si>
    <t>Бюджетная классификация</t>
  </si>
  <si>
    <t>в том числе:</t>
  </si>
  <si>
    <t>целевая статья</t>
  </si>
  <si>
    <t>вид расхо-дов</t>
  </si>
  <si>
    <t>средства местного бюджета</t>
  </si>
  <si>
    <t>софинанси- рование из федераль- ного и областного бюджетов</t>
  </si>
  <si>
    <t>0400</t>
  </si>
  <si>
    <t>Национальная экономика</t>
  </si>
  <si>
    <t>0409</t>
  </si>
  <si>
    <t>Дорожное хозяйство  (дорожные фонды)</t>
  </si>
  <si>
    <t>400</t>
  </si>
  <si>
    <t>200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</si>
  <si>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</si>
  <si>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</si>
  <si>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</si>
  <si>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</si>
  <si>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</si>
  <si>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</si>
  <si>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0701</t>
  </si>
  <si>
    <t>Дошкольное образование</t>
  </si>
  <si>
    <t>1000</t>
  </si>
  <si>
    <t>Социальная политика</t>
  </si>
  <si>
    <t>1004</t>
  </si>
  <si>
    <t>Охрана семьи и детства</t>
  </si>
  <si>
    <t>Капитальный ремонт помещений, закрепленных за детьми-сиротами и детьми, оставшимися без попечения родителей</t>
  </si>
  <si>
    <t xml:space="preserve">  II.  МКУ "Управление жизнеобеспечением и развитием  Старооскольского городского округа"</t>
  </si>
  <si>
    <t>0501</t>
  </si>
  <si>
    <t>Жилищное хозяйство</t>
  </si>
  <si>
    <t>Оснащение муниципальных жилых помещений индивидуальными приборами учета потребления коммунальных ресурсов</t>
  </si>
  <si>
    <t>Всего</t>
  </si>
  <si>
    <t>Благоустройство дворовых территорий многоквартирных жилых домов, общественных и иных территорий г. Старый Оскол</t>
  </si>
  <si>
    <t>Капитальный ремонт и ремонт автомобильных дорог общего пользования населенных пунктов</t>
  </si>
  <si>
    <t>0800</t>
  </si>
  <si>
    <t>Культура, кинематография</t>
  </si>
  <si>
    <t>раз- дел, под- раз- дел</t>
  </si>
  <si>
    <t>Наименование отрасли и объекта</t>
  </si>
  <si>
    <t>по объектам жизнеобеспечения и социально-культурного назначения</t>
  </si>
  <si>
    <t xml:space="preserve">                                                                                                          к решению Совета депутатов</t>
  </si>
  <si>
    <t xml:space="preserve">                                                                                                          Старооскольского городского округа</t>
  </si>
  <si>
    <t xml:space="preserve">  I. МКУ "Управление капитального строительства"</t>
  </si>
  <si>
    <t xml:space="preserve"> Капитальный ремонт и ремонт</t>
  </si>
  <si>
    <t>Строительство (реконструкция)</t>
  </si>
  <si>
    <t>1330144100</t>
  </si>
  <si>
    <t>1105</t>
  </si>
  <si>
    <t>Другие вопросы в области физической культуры и спорта</t>
  </si>
  <si>
    <t>1100</t>
  </si>
  <si>
    <t>Физическая культура и спорт</t>
  </si>
  <si>
    <t>0502</t>
  </si>
  <si>
    <t>Коммунальное хозяйство</t>
  </si>
  <si>
    <t>0300</t>
  </si>
  <si>
    <t>0314</t>
  </si>
  <si>
    <t>Государственная экспертиза сметной документации, проектно-сметная документация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</si>
  <si>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</si>
  <si>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</si>
  <si>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0130144100</t>
  </si>
  <si>
    <t>Старооскольского городского округа</t>
  </si>
  <si>
    <t>1240124200</t>
  </si>
  <si>
    <t>Культура</t>
  </si>
  <si>
    <t>0801</t>
  </si>
  <si>
    <t>0430224200</t>
  </si>
  <si>
    <t>0709</t>
  </si>
  <si>
    <t>Другие вопросы в области образования</t>
  </si>
  <si>
    <t>0804</t>
  </si>
  <si>
    <t xml:space="preserve">Другие вопросы в области культуры, кинематографии </t>
  </si>
  <si>
    <t>1340344300</t>
  </si>
  <si>
    <t>0230124200</t>
  </si>
  <si>
    <t>0640371520</t>
  </si>
  <si>
    <t>0640324200</t>
  </si>
  <si>
    <t>1240224200</t>
  </si>
  <si>
    <t>0730144100</t>
  </si>
  <si>
    <t>1240344100</t>
  </si>
  <si>
    <t>151И455550</t>
  </si>
  <si>
    <t>Строительство автомобильных дорог в РИЗ "Вишенки" в г.Старый Оскол Белгородской области</t>
  </si>
  <si>
    <t>133019Д030</t>
  </si>
  <si>
    <t>13301SД030</t>
  </si>
  <si>
    <t>1240324200</t>
  </si>
  <si>
    <t>Государственная экспертиза сметной документации, проектно-сметная документация, диагностика</t>
  </si>
  <si>
    <t>1240244100</t>
  </si>
  <si>
    <t xml:space="preserve">2026 год всего расходов  </t>
  </si>
  <si>
    <t>Устройство светофорного объекта ул. Майская,                ул. Троицкая, ул. Вешняя</t>
  </si>
  <si>
    <t xml:space="preserve">Строительство сетей водоснабжения и водоотведения </t>
  </si>
  <si>
    <t>Обустройство площадки для выгула собак, г. Старый Оскол</t>
  </si>
  <si>
    <t>Создание "умной" спортивной площадки под установку модульного спортивного сооружения "фиджитал" - центр, г.Старый Оскол, Молодежный проспект, д.14</t>
  </si>
  <si>
    <t>0408</t>
  </si>
  <si>
    <t>Транспорт</t>
  </si>
  <si>
    <t>1340224200</t>
  </si>
  <si>
    <t>Капитальный ремонт нежилого здания (гараж), ул. Комсомольская, 43</t>
  </si>
  <si>
    <t>Капитальный ремонт сетей водоснабжения, водоотведения и ливневой канализации Старооскольского городского округа</t>
  </si>
  <si>
    <t>Капитальный ремонт детских оздоровительных лагерей</t>
  </si>
  <si>
    <t>Капитальный ремонт сетей ливневой канализации,  г.Старый Оскол, ул. Свердлова, д. 25</t>
  </si>
  <si>
    <t>Устройство тротуара и сетей наружного освещения по улице Центральная села Солдатское Старооскольского городского округа</t>
  </si>
  <si>
    <t>Создание многофункциональной спортивно-игровой площадки по улице Народная села Черниково Старооскольского городского округа</t>
  </si>
  <si>
    <t>Устройство сетей наружного освещения вдоль тротуара по улице 8 Марта села Городище Старооскольского городского округа</t>
  </si>
  <si>
    <t>Устройство площадки для занятия спортом в РИЗ "Новая Ямская слобода" г. Старый Оскол Белгородской области</t>
  </si>
  <si>
    <t>15201ИS009</t>
  </si>
  <si>
    <t>15201ИS010</t>
  </si>
  <si>
    <t>15201ИS011</t>
  </si>
  <si>
    <t>15201ИS012</t>
  </si>
  <si>
    <t>Ремонт пешеходной дорожки через трамвайные пути и благоустройство тротуара в мкр. Северный, вдоль жилого дома № 7, г. Старый Оскол Белгородской области</t>
  </si>
  <si>
    <t>Благоустройство тротуара на ул. Хмелева г. Старый Оскол Белгородской области</t>
  </si>
  <si>
    <t>Благоустройство тротуара на ул. 1-ой Конной Армии  г. Старый Оскол Белгородской области</t>
  </si>
  <si>
    <t>Благоустройство общественного пространства ИЖС "Строитель" г. Старый Оскол Белгородской области</t>
  </si>
  <si>
    <t>15201ИS013</t>
  </si>
  <si>
    <t>15201ИS014</t>
  </si>
  <si>
    <t>15201ИS015</t>
  </si>
  <si>
    <t>15201ИS016</t>
  </si>
  <si>
    <t>"Благоустройство второй очереди набережной реки Осколец" по улице Гуменская, г. Старый Оскол Белгородской области</t>
  </si>
  <si>
    <t>0430124200</t>
  </si>
  <si>
    <t>Строительство автомобильных дорог в РИЗ "Ладушки"  в г. Старый Оскол Белгородской области</t>
  </si>
  <si>
    <t>10401L5763</t>
  </si>
  <si>
    <t>Создание и обустройство детской площадки в селе Городище</t>
  </si>
  <si>
    <t xml:space="preserve">на капитальные вложения и проведение капитальных ремонтов  на 2026 год </t>
  </si>
  <si>
    <t>Строительство гаражных боксов для специализированной пожарно-спасательной техники МКУ "Управление по делам ГО и ЧС городского округа", Белгородская область, г. Старый Оскол, мкр. Рудничный, д.23.</t>
  </si>
  <si>
    <t>151И454240</t>
  </si>
  <si>
    <t>Общее образование</t>
  </si>
  <si>
    <t>0702</t>
  </si>
  <si>
    <t>021Ю457501</t>
  </si>
  <si>
    <t>Благоустройство дворовой территории, мкр. Юность, д.3,4,6</t>
  </si>
  <si>
    <t xml:space="preserve">                                                                                                          Приложение 6</t>
  </si>
  <si>
    <t>Капитальный ремонт МБОУ "Средняя общеобразовательная школа № 21", по адресу: Белгородская область, г. Старый Оскол, мкр. Юность, д. 9.</t>
  </si>
  <si>
    <t>Электроснабжение</t>
  </si>
  <si>
    <t>Газоснабжение</t>
  </si>
  <si>
    <t>Капитальный ремонт сетей наружного освещения, парк Зеленый Лог</t>
  </si>
  <si>
    <t>Устройство ливневой канализации, г.Старый Оскол, ул. Свердлова, д. 6</t>
  </si>
  <si>
    <t xml:space="preserve"> 021Ю4А7501</t>
  </si>
  <si>
    <t xml:space="preserve">  III.  Департамент имущественных и земельных отношений администрации Старооскольского городского округа</t>
  </si>
  <si>
    <t>0540270820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</si>
  <si>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</si>
  <si>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>05301S3900</t>
  </si>
  <si>
    <t>Обеспечение жильем семей, имеющих детей инвалидов, нуждающихся в улучшении жилищных условий</t>
  </si>
  <si>
    <t>0530173900</t>
  </si>
  <si>
    <t>IV. МКУ "Центр по благоустройству сельских территорий"</t>
  </si>
  <si>
    <t>Капитальный ремонт МБОУ "Основная общеобразовательная школа № 2", Белгородская область, г.Старый Оскол, микрорайон Углы, дом 17</t>
  </si>
  <si>
    <t>Капитальный ремонт здания "Майсюкова будка" (установка вентиляции)</t>
  </si>
  <si>
    <t>9990021500</t>
  </si>
  <si>
    <t>1103</t>
  </si>
  <si>
    <t>Спорт высших достижений</t>
  </si>
  <si>
    <t>Реконструкция СК "Железнодорожник" по адресу: Белгородская область, г.Старый Оскол, ул.Стадионная, д.14а</t>
  </si>
  <si>
    <t>133019Д03Ф</t>
  </si>
  <si>
    <t>134039Д09Ф</t>
  </si>
  <si>
    <t>Капитальный ремонт автомобильных дорог в ИЖС "Строитель" с.Незнамово Старооскольского городского округа Белгородской области</t>
  </si>
  <si>
    <t xml:space="preserve">Устройство светофорного объекта по проспекту Алексея Угарова в районе ТЦ "Перекрёсток" мкр. Дубрава квартал 1- мкр. Космос  г. Старый Оскол Белгородской области </t>
  </si>
  <si>
    <t>Устройство светофорного объекта на пересечении ул. Наседкина и ул. Щепкина   г. Старый Оскол Белгородской области (с кнопкой)</t>
  </si>
  <si>
    <t>Благоустройство дворовых территорий многоквартирных жилых домов г. Старый Оскол</t>
  </si>
  <si>
    <t>Государственная экспертиза сметной документации, ПИР</t>
  </si>
  <si>
    <t>Капитальный ремонт МБУ "Спортивная школа "Спартак", г. Старый Оскол, микрорайон Горняк, д.22а</t>
  </si>
  <si>
    <t>0730124200</t>
  </si>
  <si>
    <t>134039Д090</t>
  </si>
  <si>
    <t>прочие внебюджетные поступления</t>
  </si>
  <si>
    <t>Устройство малой спортивной площадки  МБОУ "СОШ № 36", г. Старый Оскол, улица Стадионная, дом 14</t>
  </si>
  <si>
    <t>0230144100</t>
  </si>
  <si>
    <t xml:space="preserve">от 28 апреля 2026 г. № 516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</si>
</sst>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3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1" fillId="0" borderId="0"/>
    <xf numFmtId="0" fontId="9" fillId="0" borderId="0"/>
    <xf numFmtId="0" fontId="1" fillId="0" borderId="0"/>
  </cellStyleXfs>
  <cellXfs count="134">
    <xf numFmtId="0" fontId="0" fillId="0" borderId="0" xfId="0"/>
    <xf numFmtId="0" fontId="7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right"/>
    </xf>
    <xf numFmtId="164" fontId="7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164" fontId="4" fillId="2" borderId="1" xfId="3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wrapText="1"/>
    </xf>
    <xf numFmtId="49" fontId="4" fillId="2" borderId="1" xfId="3" applyNumberFormat="1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left" vertical="center" wrapText="1"/>
    </xf>
    <xf numFmtId="49" fontId="4" fillId="2" borderId="1" xfId="5" applyNumberFormat="1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vertical="center" wrapText="1"/>
    </xf>
    <xf numFmtId="164" fontId="3" fillId="2" borderId="0" xfId="3" applyNumberFormat="1" applyFont="1" applyFill="1" applyBorder="1" applyAlignment="1">
      <alignment horizontal="center" vertical="center" wrapText="1"/>
    </xf>
    <xf numFmtId="49" fontId="3" fillId="2" borderId="0" xfId="3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8" fillId="2" borderId="0" xfId="0" applyNumberFormat="1" applyFont="1" applyFill="1" applyAlignment="1">
      <alignment horizontal="center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 wrapText="1"/>
    </xf>
    <xf numFmtId="164" fontId="10" fillId="2" borderId="0" xfId="0" applyNumberFormat="1" applyFont="1" applyFill="1" applyAlignment="1">
      <alignment horizontal="center"/>
    </xf>
    <xf numFmtId="0" fontId="10" fillId="2" borderId="0" xfId="0" applyFont="1" applyFill="1"/>
    <xf numFmtId="164" fontId="11" fillId="2" borderId="0" xfId="0" applyNumberFormat="1" applyFont="1" applyFill="1" applyAlignment="1">
      <alignment horizontal="center"/>
    </xf>
    <xf numFmtId="0" fontId="7" fillId="2" borderId="1" xfId="0" applyFont="1" applyFill="1" applyBorder="1"/>
    <xf numFmtId="164" fontId="7" fillId="2" borderId="0" xfId="0" applyNumberFormat="1" applyFont="1" applyFill="1" applyAlignment="1">
      <alignment horizontal="center"/>
    </xf>
    <xf numFmtId="0" fontId="2" fillId="2" borderId="1" xfId="0" applyFont="1" applyFill="1" applyBorder="1"/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49" fontId="4" fillId="2" borderId="1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49" fontId="3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4" fillId="2" borderId="1" xfId="2" applyFont="1" applyFill="1" applyBorder="1" applyAlignment="1">
      <alignment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9" fontId="3" fillId="2" borderId="2" xfId="3" applyNumberFormat="1" applyFont="1" applyFill="1" applyBorder="1" applyAlignment="1">
      <alignment horizontal="center" vertical="center" wrapText="1"/>
    </xf>
    <xf numFmtId="0" fontId="7" fillId="2" borderId="2" xfId="3" applyFont="1" applyFill="1" applyBorder="1"/>
    <xf numFmtId="0" fontId="7" fillId="2" borderId="2" xfId="0" applyFont="1" applyFill="1" applyBorder="1"/>
    <xf numFmtId="0" fontId="2" fillId="2" borderId="2" xfId="0" applyFont="1" applyFill="1" applyBorder="1"/>
    <xf numFmtId="0" fontId="7" fillId="2" borderId="2" xfId="0" applyFont="1" applyFill="1" applyBorder="1" applyAlignment="1">
      <alignment horizontal="left"/>
    </xf>
    <xf numFmtId="0" fontId="8" fillId="2" borderId="2" xfId="0" applyFont="1" applyFill="1" applyBorder="1"/>
    <xf numFmtId="49" fontId="3" fillId="2" borderId="1" xfId="3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3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left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wrapText="1"/>
    </xf>
    <xf numFmtId="49" fontId="4" fillId="2" borderId="1" xfId="2" applyNumberFormat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/>
    <xf numFmtId="0" fontId="3" fillId="2" borderId="1" xfId="1" applyFont="1" applyFill="1" applyBorder="1" applyAlignment="1">
      <alignment horizontal="left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3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5" xr:uid="{00000000-0005-0000-0000-000003000000}"/>
    <cellStyle name="Обычный 2 3" xfId="3" xr:uid="{00000000-0005-0000-0000-000004000000}"/>
    <cellStyle name="Обычный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118"/>
  <sheetViews>
    <sheetView tabSelected="1" view="pageBreakPreview" topLeftCell="B1" zoomScale="80" zoomScaleNormal="80" zoomScaleSheetLayoutView="80" workbookViewId="0">
      <selection activeCell="F4" sqref="F4:I4"/>
    </sheetView>
  </sheetViews>
  <sheetFormatPr defaultRowHeight="15.75" x14ac:dyDescent="0.25"/>
  <cols>
    <col min="1" max="1" width="3.875" style="1" hidden="1" customWidth="1"/>
    <col min="2" max="2" width="5.75" style="2" customWidth="1"/>
    <col min="3" max="3" width="14.375" style="3" customWidth="1"/>
    <col min="4" max="4" width="5.625" style="3" customWidth="1"/>
    <col min="5" max="5" width="52.25" style="66" customWidth="1"/>
    <col min="6" max="6" width="12" style="67" customWidth="1"/>
    <col min="7" max="8" width="11" style="67" customWidth="1"/>
    <col min="9" max="9" width="9" style="1" customWidth="1"/>
    <col min="10" max="10" width="11.125" style="1" customWidth="1"/>
    <col min="11" max="11" width="17.75" style="1" customWidth="1"/>
    <col min="12" max="16384" width="9" style="1"/>
  </cols>
  <sheetData>
    <row r="1" spans="1:11" ht="16.5" x14ac:dyDescent="0.25">
      <c r="E1" s="4" t="s">
        <v>119</v>
      </c>
      <c r="F1" s="5"/>
      <c r="G1" s="5"/>
      <c r="H1" s="5"/>
    </row>
    <row r="2" spans="1:11" ht="16.5" x14ac:dyDescent="0.25">
      <c r="E2" s="4" t="s">
        <v>38</v>
      </c>
      <c r="F2" s="5"/>
      <c r="G2" s="5"/>
      <c r="H2" s="5"/>
    </row>
    <row r="3" spans="1:11" ht="16.5" x14ac:dyDescent="0.25">
      <c r="E3" s="4" t="s">
        <v>39</v>
      </c>
      <c r="F3" s="5"/>
      <c r="G3" s="5"/>
      <c r="H3" s="5"/>
    </row>
    <row r="4" spans="1:11" ht="14.25" customHeight="1" x14ac:dyDescent="0.25">
      <c r="E4" s="4"/>
      <c r="F4" s="133" t="s">
        <v>152</v>
      </c>
      <c r="G4" s="133"/>
      <c r="H4" s="133"/>
      <c r="I4" s="133"/>
    </row>
    <row r="5" spans="1:11" ht="81" hidden="1" customHeight="1" x14ac:dyDescent="0.25">
      <c r="E5" s="132"/>
      <c r="F5" s="132"/>
      <c r="G5" s="132"/>
      <c r="H5" s="132"/>
    </row>
    <row r="6" spans="1:11" ht="16.5" x14ac:dyDescent="0.25">
      <c r="B6" s="128" t="s">
        <v>0</v>
      </c>
      <c r="C6" s="128"/>
      <c r="D6" s="128"/>
      <c r="E6" s="128"/>
      <c r="F6" s="128"/>
      <c r="G6" s="128"/>
      <c r="H6" s="128"/>
    </row>
    <row r="7" spans="1:11" ht="16.5" x14ac:dyDescent="0.25">
      <c r="B7" s="128" t="s">
        <v>112</v>
      </c>
      <c r="C7" s="128"/>
      <c r="D7" s="128"/>
      <c r="E7" s="128"/>
      <c r="F7" s="128"/>
      <c r="G7" s="128"/>
      <c r="H7" s="128"/>
    </row>
    <row r="8" spans="1:11" s="7" customFormat="1" ht="16.5" x14ac:dyDescent="0.25">
      <c r="B8" s="128" t="s">
        <v>37</v>
      </c>
      <c r="C8" s="128"/>
      <c r="D8" s="128"/>
      <c r="E8" s="128"/>
      <c r="F8" s="128"/>
      <c r="G8" s="128"/>
      <c r="H8" s="128"/>
    </row>
    <row r="9" spans="1:11" s="7" customFormat="1" ht="16.5" x14ac:dyDescent="0.25">
      <c r="B9" s="128" t="s">
        <v>56</v>
      </c>
      <c r="C9" s="128"/>
      <c r="D9" s="128"/>
      <c r="E9" s="128"/>
      <c r="F9" s="128"/>
      <c r="G9" s="128"/>
      <c r="H9" s="128"/>
    </row>
    <row r="10" spans="1:11" s="7" customFormat="1" ht="81" hidden="1" customHeight="1" x14ac:dyDescent="0.25">
      <c r="B10" s="128"/>
      <c r="C10" s="128"/>
      <c r="D10" s="128"/>
      <c r="E10" s="128"/>
      <c r="F10" s="128"/>
      <c r="G10" s="128"/>
      <c r="H10" s="128"/>
    </row>
    <row r="11" spans="1:11" ht="16.5" x14ac:dyDescent="0.25">
      <c r="B11" s="68"/>
      <c r="C11" s="6"/>
      <c r="D11" s="6"/>
      <c r="E11" s="4"/>
      <c r="F11" s="8"/>
      <c r="G11" s="8"/>
      <c r="H11" s="9"/>
      <c r="J11" s="10"/>
    </row>
    <row r="12" spans="1:11" ht="30.75" customHeight="1" x14ac:dyDescent="0.25">
      <c r="B12" s="129" t="s">
        <v>1</v>
      </c>
      <c r="C12" s="130"/>
      <c r="D12" s="131"/>
      <c r="E12" s="124" t="s">
        <v>36</v>
      </c>
      <c r="F12" s="124" t="s">
        <v>79</v>
      </c>
      <c r="G12" s="125" t="s">
        <v>2</v>
      </c>
      <c r="H12" s="126"/>
      <c r="I12" s="127"/>
    </row>
    <row r="13" spans="1:11" ht="15.75" customHeight="1" x14ac:dyDescent="0.25">
      <c r="B13" s="124" t="s">
        <v>35</v>
      </c>
      <c r="C13" s="124" t="s">
        <v>3</v>
      </c>
      <c r="D13" s="124" t="s">
        <v>4</v>
      </c>
      <c r="E13" s="124"/>
      <c r="F13" s="124"/>
      <c r="G13" s="124" t="s">
        <v>5</v>
      </c>
      <c r="H13" s="124" t="s">
        <v>6</v>
      </c>
      <c r="I13" s="124" t="s">
        <v>149</v>
      </c>
    </row>
    <row r="14" spans="1:11" ht="93" customHeight="1" x14ac:dyDescent="0.25">
      <c r="B14" s="124"/>
      <c r="C14" s="124"/>
      <c r="D14" s="124"/>
      <c r="E14" s="124"/>
      <c r="F14" s="124"/>
      <c r="G14" s="124"/>
      <c r="H14" s="124"/>
      <c r="I14" s="124"/>
    </row>
    <row r="15" spans="1:11" ht="17.25" customHeight="1" x14ac:dyDescent="0.25">
      <c r="B15" s="11">
        <v>1</v>
      </c>
      <c r="C15" s="12">
        <v>2</v>
      </c>
      <c r="D15" s="12">
        <v>3</v>
      </c>
      <c r="E15" s="12">
        <v>4</v>
      </c>
      <c r="F15" s="12">
        <v>5</v>
      </c>
      <c r="G15" s="12">
        <v>6</v>
      </c>
      <c r="H15" s="12">
        <v>7</v>
      </c>
      <c r="I15" s="12">
        <v>8</v>
      </c>
    </row>
    <row r="16" spans="1:11" s="17" customFormat="1" ht="50.25" customHeight="1" x14ac:dyDescent="0.25">
      <c r="A16" s="13"/>
      <c r="B16" s="120" t="s">
        <v>40</v>
      </c>
      <c r="C16" s="120"/>
      <c r="D16" s="120"/>
      <c r="E16" s="120"/>
      <c r="F16" s="14">
        <f>SUM(G16+H16+I16)</f>
        <v>1135546.4000000001</v>
      </c>
      <c r="G16" s="14">
        <f>G17+G57</f>
        <v>564665.60000000009</v>
      </c>
      <c r="H16" s="14">
        <f>H17+H57</f>
        <v>546804.80000000005</v>
      </c>
      <c r="I16" s="14">
        <f>I17+I57</f>
        <v>24076</v>
      </c>
      <c r="J16" s="15"/>
      <c r="K16" s="16"/>
    </row>
    <row r="17" spans="1:11" s="17" customFormat="1" ht="27" customHeight="1" x14ac:dyDescent="0.25">
      <c r="A17" s="13"/>
      <c r="B17" s="121" t="s">
        <v>42</v>
      </c>
      <c r="C17" s="121"/>
      <c r="D17" s="121"/>
      <c r="E17" s="121"/>
      <c r="F17" s="18">
        <f>G17+H17+I17</f>
        <v>568755.80000000005</v>
      </c>
      <c r="G17" s="18">
        <f>G18+G21+G32+G48+G51</f>
        <v>312012.40000000002</v>
      </c>
      <c r="H17" s="18">
        <f t="shared" ref="H17:I17" si="0">H18+H21+H32+H48+H51</f>
        <v>256538.40000000002</v>
      </c>
      <c r="I17" s="18">
        <f t="shared" si="0"/>
        <v>205</v>
      </c>
      <c r="J17" s="15"/>
      <c r="K17" s="15"/>
    </row>
    <row r="18" spans="1:11" s="17" customFormat="1" ht="41.25" customHeight="1" x14ac:dyDescent="0.25">
      <c r="A18" s="78"/>
      <c r="B18" s="77" t="s">
        <v>50</v>
      </c>
      <c r="C18" s="77"/>
      <c r="D18" s="77"/>
      <c r="E18" s="77" t="s">
        <v>53</v>
      </c>
      <c r="F18" s="14">
        <f t="shared" ref="F18:F106" si="1">G18+H18</f>
        <v>45600</v>
      </c>
      <c r="G18" s="18">
        <f>G19</f>
        <v>45600</v>
      </c>
      <c r="H18" s="18"/>
      <c r="I18" s="13"/>
      <c r="J18" s="15"/>
      <c r="K18" s="15"/>
    </row>
    <row r="19" spans="1:11" s="17" customFormat="1" ht="41.25" customHeight="1" x14ac:dyDescent="0.25">
      <c r="A19" s="78"/>
      <c r="B19" s="77" t="s">
        <v>51</v>
      </c>
      <c r="C19" s="77"/>
      <c r="D19" s="77"/>
      <c r="E19" s="77" t="s">
        <v>54</v>
      </c>
      <c r="F19" s="14">
        <f t="shared" si="1"/>
        <v>45600</v>
      </c>
      <c r="G19" s="18">
        <f>G20</f>
        <v>45600</v>
      </c>
      <c r="H19" s="18"/>
      <c r="I19" s="13"/>
      <c r="J19" s="15"/>
      <c r="K19" s="15"/>
    </row>
    <row r="20" spans="1:11" s="17" customFormat="1" ht="92.25" customHeight="1" x14ac:dyDescent="0.25">
      <c r="A20" s="78"/>
      <c r="B20" s="19" t="s">
        <v>51</v>
      </c>
      <c r="C20" s="74" t="s">
        <v>55</v>
      </c>
      <c r="D20" s="74" t="s">
        <v>11</v>
      </c>
      <c r="E20" s="19" t="s">
        <v>113</v>
      </c>
      <c r="F20" s="20">
        <f t="shared" si="1"/>
        <v>45600</v>
      </c>
      <c r="G20" s="21">
        <f>49000-3400</f>
        <v>45600</v>
      </c>
      <c r="H20" s="21"/>
      <c r="I20" s="13"/>
      <c r="J20" s="15"/>
      <c r="K20" s="15"/>
    </row>
    <row r="21" spans="1:11" s="17" customFormat="1" ht="28.5" customHeight="1" x14ac:dyDescent="0.25">
      <c r="A21" s="78"/>
      <c r="B21" s="22" t="s">
        <v>7</v>
      </c>
      <c r="C21" s="22"/>
      <c r="D21" s="23"/>
      <c r="E21" s="73" t="s">
        <v>8</v>
      </c>
      <c r="F21" s="14">
        <f>G21+H21</f>
        <v>310363.70000000007</v>
      </c>
      <c r="G21" s="18">
        <f>G22</f>
        <v>67225.300000000017</v>
      </c>
      <c r="H21" s="18">
        <f>H22</f>
        <v>243138.40000000002</v>
      </c>
      <c r="I21" s="18"/>
      <c r="J21" s="15"/>
      <c r="K21" s="15"/>
    </row>
    <row r="22" spans="1:11" s="17" customFormat="1" ht="27.75" customHeight="1" x14ac:dyDescent="0.25">
      <c r="A22" s="78"/>
      <c r="B22" s="24" t="s">
        <v>9</v>
      </c>
      <c r="C22" s="25"/>
      <c r="D22" s="25"/>
      <c r="E22" s="77" t="s">
        <v>10</v>
      </c>
      <c r="F22" s="14">
        <f>G22+H22</f>
        <v>310363.70000000007</v>
      </c>
      <c r="G22" s="18">
        <f>SUM(G23:G31)</f>
        <v>67225.300000000017</v>
      </c>
      <c r="H22" s="18">
        <f>H23+H25+H26+H27+H31+H24</f>
        <v>243138.40000000002</v>
      </c>
      <c r="I22" s="18"/>
      <c r="J22" s="15"/>
      <c r="K22" s="15"/>
    </row>
    <row r="23" spans="1:11" s="2" customFormat="1" ht="47.25" customHeight="1" x14ac:dyDescent="0.25">
      <c r="A23" s="79"/>
      <c r="B23" s="74" t="s">
        <v>9</v>
      </c>
      <c r="C23" s="76" t="s">
        <v>43</v>
      </c>
      <c r="D23" s="23">
        <v>400</v>
      </c>
      <c r="E23" s="19" t="s">
        <v>109</v>
      </c>
      <c r="F23" s="20">
        <f>G23+H23</f>
        <v>50000</v>
      </c>
      <c r="G23" s="21">
        <f>70000-20000</f>
        <v>50000</v>
      </c>
      <c r="H23" s="21"/>
      <c r="I23" s="26"/>
      <c r="J23" s="27"/>
      <c r="K23" s="27"/>
    </row>
    <row r="24" spans="1:11" s="2" customFormat="1" ht="32.25" customHeight="1" x14ac:dyDescent="0.25">
      <c r="A24" s="79"/>
      <c r="B24" s="110" t="s">
        <v>9</v>
      </c>
      <c r="C24" s="87" t="s">
        <v>139</v>
      </c>
      <c r="D24" s="122">
        <v>400</v>
      </c>
      <c r="E24" s="123" t="s">
        <v>73</v>
      </c>
      <c r="F24" s="20">
        <f>G24+H24+I24</f>
        <v>96059.199999999997</v>
      </c>
      <c r="G24" s="21"/>
      <c r="H24" s="21">
        <v>96059.199999999997</v>
      </c>
      <c r="I24" s="26"/>
      <c r="J24" s="27"/>
      <c r="K24" s="27"/>
    </row>
    <row r="25" spans="1:11" s="2" customFormat="1" ht="33.75" customHeight="1" x14ac:dyDescent="0.25">
      <c r="A25" s="79"/>
      <c r="B25" s="110"/>
      <c r="C25" s="86" t="s">
        <v>74</v>
      </c>
      <c r="D25" s="122"/>
      <c r="E25" s="123"/>
      <c r="F25" s="20">
        <f t="shared" ref="F25:F31" si="2">G25+H25</f>
        <v>147079.20000000001</v>
      </c>
      <c r="G25" s="21"/>
      <c r="H25" s="21">
        <f>207079.2-119999.9+59999.9</f>
        <v>147079.20000000001</v>
      </c>
      <c r="I25" s="26"/>
      <c r="J25" s="27"/>
    </row>
    <row r="26" spans="1:11" s="2" customFormat="1" ht="33" customHeight="1" x14ac:dyDescent="0.25">
      <c r="A26" s="79"/>
      <c r="B26" s="110"/>
      <c r="C26" s="86" t="s">
        <v>75</v>
      </c>
      <c r="D26" s="122"/>
      <c r="E26" s="123"/>
      <c r="F26" s="20">
        <f t="shared" si="2"/>
        <v>11070.500000000002</v>
      </c>
      <c r="G26" s="21">
        <f>15586.7-9032.3+4516.1</f>
        <v>11070.500000000002</v>
      </c>
      <c r="H26" s="21"/>
      <c r="I26" s="26"/>
      <c r="J26" s="27"/>
      <c r="K26" s="27"/>
    </row>
    <row r="27" spans="1:11" s="2" customFormat="1" ht="47.25" customHeight="1" x14ac:dyDescent="0.25">
      <c r="A27" s="79"/>
      <c r="B27" s="86" t="s">
        <v>9</v>
      </c>
      <c r="C27" s="86" t="s">
        <v>43</v>
      </c>
      <c r="D27" s="86" t="s">
        <v>12</v>
      </c>
      <c r="E27" s="95" t="s">
        <v>80</v>
      </c>
      <c r="F27" s="20">
        <f t="shared" si="2"/>
        <v>5125</v>
      </c>
      <c r="G27" s="21">
        <f>5000+500-375</f>
        <v>5125</v>
      </c>
      <c r="H27" s="21"/>
      <c r="I27" s="26"/>
      <c r="J27" s="27"/>
      <c r="K27" s="27"/>
    </row>
    <row r="28" spans="1:11" s="2" customFormat="1" ht="75.75" customHeight="1" x14ac:dyDescent="0.25">
      <c r="A28" s="79"/>
      <c r="B28" s="86" t="s">
        <v>9</v>
      </c>
      <c r="C28" s="86" t="s">
        <v>43</v>
      </c>
      <c r="D28" s="86" t="s">
        <v>12</v>
      </c>
      <c r="E28" s="95" t="s">
        <v>142</v>
      </c>
      <c r="F28" s="20">
        <f t="shared" si="2"/>
        <v>56.6</v>
      </c>
      <c r="G28" s="21">
        <v>56.6</v>
      </c>
      <c r="H28" s="21"/>
      <c r="I28" s="26"/>
      <c r="J28" s="27"/>
      <c r="K28" s="27"/>
    </row>
    <row r="29" spans="1:11" s="2" customFormat="1" ht="60.75" customHeight="1" x14ac:dyDescent="0.25">
      <c r="A29" s="79"/>
      <c r="B29" s="86" t="s">
        <v>9</v>
      </c>
      <c r="C29" s="86" t="s">
        <v>43</v>
      </c>
      <c r="D29" s="86" t="s">
        <v>12</v>
      </c>
      <c r="E29" s="95" t="s">
        <v>143</v>
      </c>
      <c r="F29" s="20">
        <f t="shared" si="2"/>
        <v>91.5</v>
      </c>
      <c r="G29" s="21">
        <v>91.5</v>
      </c>
      <c r="H29" s="21"/>
      <c r="I29" s="26"/>
      <c r="J29" s="27"/>
      <c r="K29" s="27"/>
    </row>
    <row r="30" spans="1:11" s="2" customFormat="1" ht="29.25" customHeight="1" x14ac:dyDescent="0.25">
      <c r="A30" s="79"/>
      <c r="B30" s="110" t="s">
        <v>9</v>
      </c>
      <c r="C30" s="112" t="s">
        <v>43</v>
      </c>
      <c r="D30" s="86" t="s">
        <v>12</v>
      </c>
      <c r="E30" s="113" t="s">
        <v>52</v>
      </c>
      <c r="F30" s="20">
        <f>G30+H30+I30</f>
        <v>569.6</v>
      </c>
      <c r="G30" s="21">
        <v>569.6</v>
      </c>
      <c r="H30" s="21"/>
      <c r="I30" s="26"/>
      <c r="J30" s="27"/>
      <c r="K30" s="27"/>
    </row>
    <row r="31" spans="1:11" s="2" customFormat="1" ht="29.25" customHeight="1" x14ac:dyDescent="0.25">
      <c r="A31" s="79"/>
      <c r="B31" s="110"/>
      <c r="C31" s="112"/>
      <c r="D31" s="94">
        <v>400</v>
      </c>
      <c r="E31" s="113"/>
      <c r="F31" s="20">
        <f t="shared" si="2"/>
        <v>312.10000000000002</v>
      </c>
      <c r="G31" s="21">
        <v>312.10000000000002</v>
      </c>
      <c r="H31" s="21"/>
      <c r="I31" s="26"/>
      <c r="J31" s="27"/>
      <c r="K31" s="27"/>
    </row>
    <row r="32" spans="1:11" s="17" customFormat="1" ht="28.5" customHeight="1" x14ac:dyDescent="0.25">
      <c r="A32" s="78"/>
      <c r="B32" s="24" t="s">
        <v>13</v>
      </c>
      <c r="C32" s="24"/>
      <c r="D32" s="24"/>
      <c r="E32" s="32" t="s">
        <v>14</v>
      </c>
      <c r="F32" s="14">
        <f>G32+H32+I32</f>
        <v>186639</v>
      </c>
      <c r="G32" s="14">
        <f>G33+G39</f>
        <v>173034</v>
      </c>
      <c r="H32" s="14">
        <f>H33+H39</f>
        <v>13400</v>
      </c>
      <c r="I32" s="14">
        <f t="shared" ref="I32" si="3">I33+I39</f>
        <v>205</v>
      </c>
      <c r="J32" s="15"/>
      <c r="K32" s="15"/>
    </row>
    <row r="33" spans="1:11" s="17" customFormat="1" ht="27.75" customHeight="1" x14ac:dyDescent="0.25">
      <c r="A33" s="78"/>
      <c r="B33" s="22" t="s">
        <v>48</v>
      </c>
      <c r="C33" s="90"/>
      <c r="D33" s="90"/>
      <c r="E33" s="89" t="s">
        <v>49</v>
      </c>
      <c r="F33" s="14">
        <f t="shared" si="1"/>
        <v>146375.79999999999</v>
      </c>
      <c r="G33" s="14">
        <f>G36+G35+G34+G37+G38</f>
        <v>146375.79999999999</v>
      </c>
      <c r="H33" s="14"/>
      <c r="I33" s="14"/>
      <c r="J33" s="15"/>
      <c r="K33" s="15"/>
    </row>
    <row r="34" spans="1:11" s="17" customFormat="1" ht="33" customHeight="1" x14ac:dyDescent="0.25">
      <c r="A34" s="78"/>
      <c r="B34" s="87" t="s">
        <v>48</v>
      </c>
      <c r="C34" s="87" t="s">
        <v>71</v>
      </c>
      <c r="D34" s="87" t="s">
        <v>11</v>
      </c>
      <c r="E34" s="91" t="s">
        <v>121</v>
      </c>
      <c r="F34" s="20">
        <f>G34+H34+I34</f>
        <v>100</v>
      </c>
      <c r="G34" s="20">
        <v>100</v>
      </c>
      <c r="H34" s="20"/>
      <c r="I34" s="20"/>
      <c r="J34" s="15"/>
      <c r="K34" s="15"/>
    </row>
    <row r="35" spans="1:11" s="17" customFormat="1" ht="32.25" customHeight="1" x14ac:dyDescent="0.25">
      <c r="A35" s="78"/>
      <c r="B35" s="87" t="s">
        <v>48</v>
      </c>
      <c r="C35" s="87" t="s">
        <v>71</v>
      </c>
      <c r="D35" s="87" t="s">
        <v>11</v>
      </c>
      <c r="E35" s="91" t="s">
        <v>122</v>
      </c>
      <c r="F35" s="20">
        <f>G35+H35+I35</f>
        <v>100</v>
      </c>
      <c r="G35" s="20">
        <v>100</v>
      </c>
      <c r="H35" s="20"/>
      <c r="I35" s="20"/>
      <c r="J35" s="15"/>
      <c r="K35" s="15"/>
    </row>
    <row r="36" spans="1:11" s="17" customFormat="1" ht="44.25" customHeight="1" x14ac:dyDescent="0.25">
      <c r="A36" s="78"/>
      <c r="B36" s="87" t="s">
        <v>48</v>
      </c>
      <c r="C36" s="87" t="s">
        <v>71</v>
      </c>
      <c r="D36" s="87" t="s">
        <v>11</v>
      </c>
      <c r="E36" s="91" t="s">
        <v>81</v>
      </c>
      <c r="F36" s="21">
        <f t="shared" si="1"/>
        <v>129907.7</v>
      </c>
      <c r="G36" s="21">
        <f>4883.9+39200+86023-199.2</f>
        <v>129907.7</v>
      </c>
      <c r="H36" s="21"/>
      <c r="I36" s="13"/>
      <c r="J36" s="15"/>
      <c r="K36" s="15"/>
    </row>
    <row r="37" spans="1:11" s="17" customFormat="1" ht="51" customHeight="1" x14ac:dyDescent="0.25">
      <c r="A37" s="78"/>
      <c r="B37" s="87" t="s">
        <v>48</v>
      </c>
      <c r="C37" s="87" t="s">
        <v>71</v>
      </c>
      <c r="D37" s="87" t="s">
        <v>11</v>
      </c>
      <c r="E37" s="91" t="s">
        <v>124</v>
      </c>
      <c r="F37" s="21">
        <f t="shared" si="1"/>
        <v>14467.6</v>
      </c>
      <c r="G37" s="21">
        <f>4467.6+10000</f>
        <v>14467.6</v>
      </c>
      <c r="H37" s="21"/>
      <c r="I37" s="13"/>
      <c r="J37" s="15"/>
      <c r="K37" s="16"/>
    </row>
    <row r="38" spans="1:11" s="17" customFormat="1" ht="45" customHeight="1" x14ac:dyDescent="0.25">
      <c r="A38" s="78"/>
      <c r="B38" s="96" t="s">
        <v>48</v>
      </c>
      <c r="C38" s="96" t="s">
        <v>71</v>
      </c>
      <c r="D38" s="96" t="s">
        <v>11</v>
      </c>
      <c r="E38" s="91" t="s">
        <v>145</v>
      </c>
      <c r="F38" s="21">
        <f t="shared" si="1"/>
        <v>1800.5</v>
      </c>
      <c r="G38" s="21">
        <f>2+599.3+1000+199.2</f>
        <v>1800.5</v>
      </c>
      <c r="H38" s="21"/>
      <c r="I38" s="13"/>
      <c r="J38" s="15"/>
      <c r="K38" s="16"/>
    </row>
    <row r="39" spans="1:11" s="17" customFormat="1" ht="31.5" customHeight="1" x14ac:dyDescent="0.25">
      <c r="A39" s="78"/>
      <c r="B39" s="24" t="s">
        <v>15</v>
      </c>
      <c r="C39" s="24"/>
      <c r="D39" s="24"/>
      <c r="E39" s="32" t="s">
        <v>16</v>
      </c>
      <c r="F39" s="14">
        <f>G39+H39+I39</f>
        <v>40263.199999999997</v>
      </c>
      <c r="G39" s="14">
        <f>SUM(G40:G47)</f>
        <v>26658.2</v>
      </c>
      <c r="H39" s="14">
        <f t="shared" ref="H39:I39" si="4">SUM(H40:H47)</f>
        <v>13400</v>
      </c>
      <c r="I39" s="14">
        <f t="shared" si="4"/>
        <v>205</v>
      </c>
      <c r="J39" s="15"/>
      <c r="K39" s="15"/>
    </row>
    <row r="40" spans="1:11" s="17" customFormat="1" ht="43.5" customHeight="1" x14ac:dyDescent="0.25">
      <c r="A40" s="78"/>
      <c r="B40" s="86" t="s">
        <v>15</v>
      </c>
      <c r="C40" s="86" t="s">
        <v>78</v>
      </c>
      <c r="D40" s="86" t="s">
        <v>12</v>
      </c>
      <c r="E40" s="29" t="s">
        <v>82</v>
      </c>
      <c r="F40" s="20">
        <f t="shared" si="1"/>
        <v>3600</v>
      </c>
      <c r="G40" s="20">
        <f>16000-8000-4400</f>
        <v>3600</v>
      </c>
      <c r="H40" s="21"/>
      <c r="I40" s="13"/>
      <c r="J40" s="15"/>
      <c r="K40" s="15"/>
    </row>
    <row r="41" spans="1:11" s="17" customFormat="1" ht="55.5" customHeight="1" x14ac:dyDescent="0.25">
      <c r="A41" s="78"/>
      <c r="B41" s="86" t="s">
        <v>15</v>
      </c>
      <c r="C41" s="87" t="s">
        <v>95</v>
      </c>
      <c r="D41" s="86" t="s">
        <v>11</v>
      </c>
      <c r="E41" s="29" t="s">
        <v>91</v>
      </c>
      <c r="F41" s="20">
        <f>G41+H41+I41</f>
        <v>11879.2</v>
      </c>
      <c r="G41" s="20">
        <f>10130-1620.8</f>
        <v>8509.2000000000007</v>
      </c>
      <c r="H41" s="21">
        <v>3350</v>
      </c>
      <c r="I41" s="20">
        <v>20</v>
      </c>
      <c r="J41" s="15"/>
      <c r="K41" s="15"/>
    </row>
    <row r="42" spans="1:11" s="17" customFormat="1" ht="51.75" customHeight="1" x14ac:dyDescent="0.25">
      <c r="A42" s="78"/>
      <c r="B42" s="86" t="s">
        <v>15</v>
      </c>
      <c r="C42" s="87" t="s">
        <v>96</v>
      </c>
      <c r="D42" s="86" t="s">
        <v>12</v>
      </c>
      <c r="E42" s="29" t="s">
        <v>92</v>
      </c>
      <c r="F42" s="20">
        <f t="shared" ref="F42:F44" si="5">G42+H42+I42</f>
        <v>7410</v>
      </c>
      <c r="G42" s="20">
        <v>4000</v>
      </c>
      <c r="H42" s="21">
        <v>3350</v>
      </c>
      <c r="I42" s="20">
        <v>60</v>
      </c>
      <c r="J42" s="15"/>
      <c r="K42" s="15"/>
    </row>
    <row r="43" spans="1:11" s="17" customFormat="1" ht="57.75" customHeight="1" x14ac:dyDescent="0.25">
      <c r="A43" s="78"/>
      <c r="B43" s="86" t="s">
        <v>15</v>
      </c>
      <c r="C43" s="87" t="s">
        <v>97</v>
      </c>
      <c r="D43" s="86" t="s">
        <v>11</v>
      </c>
      <c r="E43" s="29" t="s">
        <v>93</v>
      </c>
      <c r="F43" s="20">
        <f t="shared" si="5"/>
        <v>8164</v>
      </c>
      <c r="G43" s="20">
        <f>5100-306</f>
        <v>4794</v>
      </c>
      <c r="H43" s="21">
        <v>3350</v>
      </c>
      <c r="I43" s="20">
        <v>20</v>
      </c>
      <c r="J43" s="15"/>
      <c r="K43" s="15"/>
    </row>
    <row r="44" spans="1:11" s="17" customFormat="1" ht="53.25" customHeight="1" x14ac:dyDescent="0.25">
      <c r="A44" s="78"/>
      <c r="B44" s="86" t="s">
        <v>15</v>
      </c>
      <c r="C44" s="87" t="s">
        <v>98</v>
      </c>
      <c r="D44" s="86" t="s">
        <v>12</v>
      </c>
      <c r="E44" s="29" t="s">
        <v>94</v>
      </c>
      <c r="F44" s="20">
        <f t="shared" si="5"/>
        <v>8363.7000000000007</v>
      </c>
      <c r="G44" s="20">
        <f>6545-1636.3</f>
        <v>4908.7</v>
      </c>
      <c r="H44" s="21">
        <v>3350</v>
      </c>
      <c r="I44" s="20">
        <v>105</v>
      </c>
      <c r="J44" s="15"/>
      <c r="K44" s="15"/>
    </row>
    <row r="45" spans="1:11" s="17" customFormat="1" ht="30" customHeight="1" x14ac:dyDescent="0.25">
      <c r="A45" s="78"/>
      <c r="B45" s="108" t="s">
        <v>15</v>
      </c>
      <c r="C45" s="112" t="s">
        <v>78</v>
      </c>
      <c r="D45" s="86" t="s">
        <v>11</v>
      </c>
      <c r="E45" s="114" t="s">
        <v>52</v>
      </c>
      <c r="F45" s="20">
        <f>G45+H45+I45</f>
        <v>373.3</v>
      </c>
      <c r="G45" s="20">
        <v>373.3</v>
      </c>
      <c r="H45" s="21"/>
      <c r="I45" s="20"/>
      <c r="J45" s="15"/>
      <c r="K45" s="15"/>
    </row>
    <row r="46" spans="1:11" s="17" customFormat="1" ht="30" customHeight="1" x14ac:dyDescent="0.25">
      <c r="A46" s="78"/>
      <c r="B46" s="108"/>
      <c r="C46" s="112"/>
      <c r="D46" s="86" t="s">
        <v>12</v>
      </c>
      <c r="E46" s="114"/>
      <c r="F46" s="20">
        <f>G46+H46+I46</f>
        <v>426.7</v>
      </c>
      <c r="G46" s="20">
        <v>426.7</v>
      </c>
      <c r="H46" s="21"/>
      <c r="I46" s="20"/>
      <c r="J46" s="15"/>
      <c r="K46" s="15"/>
    </row>
    <row r="47" spans="1:11" s="17" customFormat="1" ht="30" customHeight="1" x14ac:dyDescent="0.25">
      <c r="A47" s="78"/>
      <c r="B47" s="108"/>
      <c r="C47" s="87" t="s">
        <v>135</v>
      </c>
      <c r="D47" s="54" t="s">
        <v>12</v>
      </c>
      <c r="E47" s="114"/>
      <c r="F47" s="20">
        <f>G47+H47+I47</f>
        <v>46.3</v>
      </c>
      <c r="G47" s="20">
        <v>46.3</v>
      </c>
      <c r="H47" s="20"/>
      <c r="I47" s="20"/>
      <c r="J47" s="15"/>
      <c r="K47" s="15"/>
    </row>
    <row r="48" spans="1:11" s="17" customFormat="1" ht="30" customHeight="1" x14ac:dyDescent="0.25">
      <c r="A48" s="78"/>
      <c r="B48" s="24" t="s">
        <v>17</v>
      </c>
      <c r="C48" s="22"/>
      <c r="D48" s="24"/>
      <c r="E48" s="89" t="s">
        <v>18</v>
      </c>
      <c r="F48" s="14">
        <f t="shared" ref="F48:F50" si="6">G48+H48+I48</f>
        <v>3400</v>
      </c>
      <c r="G48" s="14">
        <f>G49</f>
        <v>3400</v>
      </c>
      <c r="H48" s="14"/>
      <c r="I48" s="14"/>
      <c r="J48" s="15"/>
      <c r="K48" s="15"/>
    </row>
    <row r="49" spans="1:252" s="17" customFormat="1" ht="30" customHeight="1" x14ac:dyDescent="0.25">
      <c r="A49" s="78"/>
      <c r="B49" s="24" t="s">
        <v>116</v>
      </c>
      <c r="C49" s="22"/>
      <c r="D49" s="24"/>
      <c r="E49" s="69" t="s">
        <v>115</v>
      </c>
      <c r="F49" s="14">
        <f t="shared" si="6"/>
        <v>3400</v>
      </c>
      <c r="G49" s="14">
        <f>G50</f>
        <v>3400</v>
      </c>
      <c r="H49" s="14"/>
      <c r="I49" s="14"/>
      <c r="J49" s="15"/>
      <c r="K49" s="15"/>
    </row>
    <row r="50" spans="1:252" s="17" customFormat="1" ht="71.25" customHeight="1" x14ac:dyDescent="0.25">
      <c r="A50" s="78"/>
      <c r="B50" s="24" t="s">
        <v>116</v>
      </c>
      <c r="C50" s="87" t="s">
        <v>151</v>
      </c>
      <c r="D50" s="54" t="s">
        <v>12</v>
      </c>
      <c r="E50" s="97" t="s">
        <v>150</v>
      </c>
      <c r="F50" s="20">
        <f t="shared" si="6"/>
        <v>3400</v>
      </c>
      <c r="G50" s="20">
        <v>3400</v>
      </c>
      <c r="H50" s="20"/>
      <c r="I50" s="20"/>
      <c r="J50" s="15"/>
      <c r="K50" s="15"/>
    </row>
    <row r="51" spans="1:252" s="17" customFormat="1" ht="27.75" customHeight="1" x14ac:dyDescent="0.25">
      <c r="A51" s="78"/>
      <c r="B51" s="24" t="s">
        <v>46</v>
      </c>
      <c r="C51" s="30"/>
      <c r="D51" s="31"/>
      <c r="E51" s="32" t="s">
        <v>47</v>
      </c>
      <c r="F51" s="14">
        <f>G51+H51</f>
        <v>22753.1</v>
      </c>
      <c r="G51" s="14">
        <f>G55+G52</f>
        <v>22753.1</v>
      </c>
      <c r="H51" s="14"/>
      <c r="I51" s="13"/>
      <c r="J51" s="15"/>
      <c r="K51" s="15"/>
    </row>
    <row r="52" spans="1:252" s="17" customFormat="1" ht="28.5" customHeight="1" x14ac:dyDescent="0.25">
      <c r="A52" s="78"/>
      <c r="B52" s="98" t="s">
        <v>136</v>
      </c>
      <c r="C52" s="99"/>
      <c r="D52" s="100"/>
      <c r="E52" s="101" t="s">
        <v>137</v>
      </c>
      <c r="F52" s="102">
        <f>G52+H52+I52</f>
        <v>1196.0999999999999</v>
      </c>
      <c r="G52" s="102">
        <f>G54+G53</f>
        <v>1196.0999999999999</v>
      </c>
      <c r="H52" s="102"/>
      <c r="I52" s="102"/>
      <c r="J52" s="15"/>
      <c r="K52" s="15"/>
    </row>
    <row r="53" spans="1:252" s="17" customFormat="1" ht="28.5" customHeight="1" x14ac:dyDescent="0.25">
      <c r="A53" s="78"/>
      <c r="B53" s="108" t="s">
        <v>136</v>
      </c>
      <c r="C53" s="87" t="s">
        <v>70</v>
      </c>
      <c r="D53" s="108" t="s">
        <v>11</v>
      </c>
      <c r="E53" s="109" t="s">
        <v>138</v>
      </c>
      <c r="F53" s="103">
        <f>G53+H53+I53</f>
        <v>600</v>
      </c>
      <c r="G53" s="103">
        <v>600</v>
      </c>
      <c r="H53" s="103"/>
      <c r="I53" s="103"/>
      <c r="J53" s="15"/>
      <c r="K53" s="15"/>
    </row>
    <row r="54" spans="1:252" s="17" customFormat="1" ht="30" customHeight="1" x14ac:dyDescent="0.25">
      <c r="A54" s="78"/>
      <c r="B54" s="108"/>
      <c r="C54" s="104">
        <v>9990021500</v>
      </c>
      <c r="D54" s="108"/>
      <c r="E54" s="109"/>
      <c r="F54" s="103">
        <f>G54+H54+I54</f>
        <v>596.1</v>
      </c>
      <c r="G54" s="103">
        <v>596.1</v>
      </c>
      <c r="H54" s="103"/>
      <c r="I54" s="103"/>
      <c r="J54" s="15"/>
      <c r="K54" s="15"/>
    </row>
    <row r="55" spans="1:252" s="17" customFormat="1" ht="37.5" customHeight="1" x14ac:dyDescent="0.25">
      <c r="A55" s="78"/>
      <c r="B55" s="33" t="s">
        <v>44</v>
      </c>
      <c r="C55" s="24"/>
      <c r="D55" s="33"/>
      <c r="E55" s="93" t="s">
        <v>45</v>
      </c>
      <c r="F55" s="14">
        <f>G55+H55</f>
        <v>21557</v>
      </c>
      <c r="G55" s="14">
        <f>G56</f>
        <v>21557</v>
      </c>
      <c r="H55" s="18"/>
      <c r="I55" s="13"/>
      <c r="J55" s="15"/>
      <c r="K55" s="15"/>
    </row>
    <row r="56" spans="1:252" s="17" customFormat="1" ht="64.5" customHeight="1" x14ac:dyDescent="0.25">
      <c r="A56" s="78"/>
      <c r="B56" s="94">
        <v>1105</v>
      </c>
      <c r="C56" s="87" t="s">
        <v>70</v>
      </c>
      <c r="D56" s="94">
        <v>400</v>
      </c>
      <c r="E56" s="34" t="s">
        <v>83</v>
      </c>
      <c r="F56" s="20">
        <f>G56+H56</f>
        <v>21557</v>
      </c>
      <c r="G56" s="20">
        <f>23890-2000-333</f>
        <v>21557</v>
      </c>
      <c r="H56" s="21"/>
      <c r="I56" s="13"/>
      <c r="J56" s="15"/>
      <c r="K56" s="15"/>
    </row>
    <row r="57" spans="1:252" s="17" customFormat="1" ht="28.5" customHeight="1" x14ac:dyDescent="0.25">
      <c r="A57" s="78"/>
      <c r="B57" s="116" t="s">
        <v>41</v>
      </c>
      <c r="C57" s="116"/>
      <c r="D57" s="116"/>
      <c r="E57" s="116"/>
      <c r="F57" s="14">
        <f>G57+H57+I57</f>
        <v>566790.60000000009</v>
      </c>
      <c r="G57" s="14">
        <f>G58+G66+G91+G81+G97</f>
        <v>252653.2</v>
      </c>
      <c r="H57" s="14">
        <f t="shared" ref="H57" si="7">H58+H66+H91+H81+H97</f>
        <v>290266.40000000002</v>
      </c>
      <c r="I57" s="14">
        <f>I58+I66+I91+I81+I97</f>
        <v>23871</v>
      </c>
      <c r="J57" s="15"/>
      <c r="K57" s="15"/>
    </row>
    <row r="58" spans="1:252" ht="30.75" customHeight="1" x14ac:dyDescent="0.25">
      <c r="A58" s="80"/>
      <c r="B58" s="22" t="s">
        <v>7</v>
      </c>
      <c r="C58" s="22"/>
      <c r="D58" s="94"/>
      <c r="E58" s="90" t="s">
        <v>8</v>
      </c>
      <c r="F58" s="18">
        <f>G58+H58+I58</f>
        <v>64372.099999999984</v>
      </c>
      <c r="G58" s="14">
        <f>G61+G59</f>
        <v>25464.999999999985</v>
      </c>
      <c r="H58" s="14">
        <f>H61+H59</f>
        <v>28407.1</v>
      </c>
      <c r="I58" s="14">
        <f>I61+I59</f>
        <v>10500</v>
      </c>
      <c r="J58" s="35"/>
      <c r="K58" s="35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1:252" ht="30.75" customHeight="1" x14ac:dyDescent="0.25">
      <c r="A59" s="80"/>
      <c r="B59" s="22" t="s">
        <v>84</v>
      </c>
      <c r="C59" s="22"/>
      <c r="D59" s="94"/>
      <c r="E59" s="90" t="s">
        <v>85</v>
      </c>
      <c r="F59" s="18">
        <f>G59+H59</f>
        <v>3553</v>
      </c>
      <c r="G59" s="14">
        <f>G60</f>
        <v>3553</v>
      </c>
      <c r="H59" s="14"/>
      <c r="I59" s="86"/>
      <c r="J59" s="35"/>
      <c r="K59" s="35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1:252" s="3" customFormat="1" ht="46.5" customHeight="1" x14ac:dyDescent="0.25">
      <c r="A60" s="80"/>
      <c r="B60" s="87" t="s">
        <v>84</v>
      </c>
      <c r="C60" s="87" t="s">
        <v>86</v>
      </c>
      <c r="D60" s="94">
        <v>200</v>
      </c>
      <c r="E60" s="37" t="s">
        <v>87</v>
      </c>
      <c r="F60" s="21">
        <f>G60+H60</f>
        <v>3553</v>
      </c>
      <c r="G60" s="20">
        <f>3800-247</f>
        <v>3553</v>
      </c>
      <c r="H60" s="20"/>
      <c r="I60" s="86"/>
      <c r="J60" s="35"/>
      <c r="K60" s="35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1:252" s="7" customFormat="1" ht="28.5" customHeight="1" x14ac:dyDescent="0.25">
      <c r="A61" s="81"/>
      <c r="B61" s="24" t="s">
        <v>9</v>
      </c>
      <c r="C61" s="25"/>
      <c r="D61" s="25"/>
      <c r="E61" s="93" t="s">
        <v>10</v>
      </c>
      <c r="F61" s="18">
        <f>G61+H61+I61</f>
        <v>60819.099999999984</v>
      </c>
      <c r="G61" s="18">
        <f>SUM(G62:G65)</f>
        <v>21911.999999999985</v>
      </c>
      <c r="H61" s="18">
        <f t="shared" ref="H61:I61" si="8">SUM(H62:H65)</f>
        <v>28407.1</v>
      </c>
      <c r="I61" s="18">
        <f t="shared" si="8"/>
        <v>10500</v>
      </c>
      <c r="J61" s="38"/>
      <c r="K61" s="38"/>
    </row>
    <row r="62" spans="1:252" s="42" customFormat="1" ht="45" customHeight="1" x14ac:dyDescent="0.25">
      <c r="A62" s="81"/>
      <c r="B62" s="86" t="s">
        <v>9</v>
      </c>
      <c r="C62" s="39">
        <v>1340344300</v>
      </c>
      <c r="D62" s="86" t="s">
        <v>12</v>
      </c>
      <c r="E62" s="40" t="s">
        <v>32</v>
      </c>
      <c r="F62" s="21">
        <f>G62+H62+I62</f>
        <v>14247.999999999985</v>
      </c>
      <c r="G62" s="21">
        <f>16318+124500+28880-15586.7-56473.3-23890-70000</f>
        <v>3747.9999999999854</v>
      </c>
      <c r="H62" s="21"/>
      <c r="I62" s="21">
        <v>10500</v>
      </c>
      <c r="J62" s="41"/>
      <c r="K62" s="41"/>
    </row>
    <row r="63" spans="1:252" s="42" customFormat="1" ht="32.25" customHeight="1" x14ac:dyDescent="0.25">
      <c r="A63" s="81"/>
      <c r="B63" s="110" t="s">
        <v>9</v>
      </c>
      <c r="C63" s="39" t="s">
        <v>140</v>
      </c>
      <c r="D63" s="110" t="s">
        <v>12</v>
      </c>
      <c r="E63" s="111" t="s">
        <v>141</v>
      </c>
      <c r="F63" s="21">
        <f>G63+H63</f>
        <v>564.5</v>
      </c>
      <c r="G63" s="20"/>
      <c r="H63" s="105">
        <f>564.5</f>
        <v>564.5</v>
      </c>
      <c r="I63" s="106"/>
      <c r="J63" s="43"/>
      <c r="K63" s="41"/>
    </row>
    <row r="64" spans="1:252" s="42" customFormat="1" ht="36.75" customHeight="1" x14ac:dyDescent="0.25">
      <c r="A64" s="81"/>
      <c r="B64" s="110"/>
      <c r="C64" s="39" t="s">
        <v>148</v>
      </c>
      <c r="D64" s="110"/>
      <c r="E64" s="111"/>
      <c r="F64" s="21">
        <f>G64+H64</f>
        <v>27842.6</v>
      </c>
      <c r="G64" s="20"/>
      <c r="H64" s="105">
        <v>27842.6</v>
      </c>
      <c r="I64" s="106"/>
      <c r="J64" s="43"/>
      <c r="K64" s="41"/>
    </row>
    <row r="65" spans="1:11" ht="46.5" customHeight="1" x14ac:dyDescent="0.25">
      <c r="A65" s="81"/>
      <c r="B65" s="86" t="s">
        <v>9</v>
      </c>
      <c r="C65" s="87" t="s">
        <v>65</v>
      </c>
      <c r="D65" s="86" t="s">
        <v>12</v>
      </c>
      <c r="E65" s="88" t="s">
        <v>77</v>
      </c>
      <c r="F65" s="20">
        <f t="shared" si="1"/>
        <v>18164</v>
      </c>
      <c r="G65" s="20">
        <f>26000+10000-17836</f>
        <v>18164</v>
      </c>
      <c r="H65" s="21"/>
      <c r="I65" s="44"/>
      <c r="J65" s="45"/>
      <c r="K65" s="45"/>
    </row>
    <row r="66" spans="1:11" ht="30.75" customHeight="1" x14ac:dyDescent="0.25">
      <c r="A66" s="82"/>
      <c r="B66" s="22" t="s">
        <v>13</v>
      </c>
      <c r="C66" s="86"/>
      <c r="D66" s="86"/>
      <c r="E66" s="89" t="s">
        <v>14</v>
      </c>
      <c r="F66" s="14">
        <f>G66+H66+I66</f>
        <v>300492.2</v>
      </c>
      <c r="G66" s="14">
        <f>G67+G70</f>
        <v>110861.5</v>
      </c>
      <c r="H66" s="14">
        <f>H67+H70</f>
        <v>189259.7</v>
      </c>
      <c r="I66" s="14">
        <f>I67+I70</f>
        <v>371</v>
      </c>
      <c r="J66" s="45"/>
      <c r="K66" s="45"/>
    </row>
    <row r="67" spans="1:11" ht="30" customHeight="1" x14ac:dyDescent="0.25">
      <c r="A67" s="82"/>
      <c r="B67" s="22" t="s">
        <v>48</v>
      </c>
      <c r="C67" s="86"/>
      <c r="D67" s="86"/>
      <c r="E67" s="89" t="s">
        <v>49</v>
      </c>
      <c r="F67" s="14">
        <f t="shared" si="1"/>
        <v>4015</v>
      </c>
      <c r="G67" s="14">
        <f>G68+G69</f>
        <v>4015</v>
      </c>
      <c r="H67" s="14"/>
      <c r="I67" s="44"/>
      <c r="J67" s="45"/>
      <c r="K67" s="45"/>
    </row>
    <row r="68" spans="1:11" s="3" customFormat="1" ht="60" customHeight="1" x14ac:dyDescent="0.25">
      <c r="A68" s="83"/>
      <c r="B68" s="87" t="s">
        <v>48</v>
      </c>
      <c r="C68" s="86" t="s">
        <v>76</v>
      </c>
      <c r="D68" s="86" t="s">
        <v>12</v>
      </c>
      <c r="E68" s="91" t="s">
        <v>88</v>
      </c>
      <c r="F68" s="20">
        <f>G68+H68</f>
        <v>715</v>
      </c>
      <c r="G68" s="20">
        <f>7000-6500+215</f>
        <v>715</v>
      </c>
      <c r="H68" s="20"/>
      <c r="I68" s="46"/>
      <c r="J68" s="47"/>
      <c r="K68" s="47"/>
    </row>
    <row r="69" spans="1:11" s="3" customFormat="1" ht="46.5" customHeight="1" x14ac:dyDescent="0.25">
      <c r="A69" s="83"/>
      <c r="B69" s="87" t="s">
        <v>48</v>
      </c>
      <c r="C69" s="86" t="s">
        <v>76</v>
      </c>
      <c r="D69" s="86" t="s">
        <v>12</v>
      </c>
      <c r="E69" s="91" t="s">
        <v>90</v>
      </c>
      <c r="F69" s="20">
        <f>G69+H69</f>
        <v>3300</v>
      </c>
      <c r="G69" s="20">
        <f>12800-12500+13000-10000</f>
        <v>3300</v>
      </c>
      <c r="H69" s="20"/>
      <c r="I69" s="46"/>
      <c r="J69" s="47"/>
      <c r="K69" s="47"/>
    </row>
    <row r="70" spans="1:11" s="3" customFormat="1" ht="28.5" customHeight="1" x14ac:dyDescent="0.25">
      <c r="A70" s="83"/>
      <c r="B70" s="22" t="s">
        <v>15</v>
      </c>
      <c r="C70" s="22"/>
      <c r="D70" s="22"/>
      <c r="E70" s="89" t="s">
        <v>16</v>
      </c>
      <c r="F70" s="14">
        <f>G70+H70+I70</f>
        <v>296477.2</v>
      </c>
      <c r="G70" s="14">
        <f>SUM(G71:G80)</f>
        <v>106846.5</v>
      </c>
      <c r="H70" s="14">
        <f>SUM(H71:H80)</f>
        <v>189259.7</v>
      </c>
      <c r="I70" s="14">
        <f t="shared" ref="I70" si="9">SUM(I71:I80)</f>
        <v>371</v>
      </c>
      <c r="J70" s="47"/>
      <c r="K70" s="47"/>
    </row>
    <row r="71" spans="1:11" s="3" customFormat="1" ht="61.5" customHeight="1" x14ac:dyDescent="0.25">
      <c r="A71" s="83"/>
      <c r="B71" s="86" t="s">
        <v>15</v>
      </c>
      <c r="C71" s="87" t="s">
        <v>114</v>
      </c>
      <c r="D71" s="86" t="s">
        <v>12</v>
      </c>
      <c r="E71" s="91" t="s">
        <v>107</v>
      </c>
      <c r="F71" s="20">
        <f>G71+H71</f>
        <v>136381</v>
      </c>
      <c r="G71" s="48">
        <f>14500+100+12.2</f>
        <v>14612.2</v>
      </c>
      <c r="H71" s="48">
        <f>107156.5+14612.2+0.1</f>
        <v>121768.8</v>
      </c>
      <c r="I71" s="48"/>
      <c r="J71" s="47"/>
    </row>
    <row r="72" spans="1:11" s="3" customFormat="1" ht="57" customHeight="1" x14ac:dyDescent="0.25">
      <c r="A72" s="83"/>
      <c r="B72" s="86" t="s">
        <v>15</v>
      </c>
      <c r="C72" s="87" t="s">
        <v>72</v>
      </c>
      <c r="D72" s="86" t="s">
        <v>12</v>
      </c>
      <c r="E72" s="91" t="s">
        <v>31</v>
      </c>
      <c r="F72" s="20">
        <f t="shared" ref="F72:F80" si="10">G72+H72</f>
        <v>74212.7</v>
      </c>
      <c r="G72" s="48">
        <f>10061+10060.8</f>
        <v>20121.8</v>
      </c>
      <c r="H72" s="48">
        <f>47364+6726.9</f>
        <v>54090.9</v>
      </c>
      <c r="I72" s="46"/>
      <c r="J72" s="47"/>
      <c r="K72" s="47"/>
    </row>
    <row r="73" spans="1:11" s="3" customFormat="1" ht="48" customHeight="1" x14ac:dyDescent="0.25">
      <c r="A73" s="83"/>
      <c r="B73" s="86" t="s">
        <v>15</v>
      </c>
      <c r="C73" s="87" t="s">
        <v>69</v>
      </c>
      <c r="D73" s="86" t="s">
        <v>12</v>
      </c>
      <c r="E73" s="91" t="s">
        <v>118</v>
      </c>
      <c r="F73" s="20">
        <f t="shared" si="10"/>
        <v>27463.9</v>
      </c>
      <c r="G73" s="48">
        <f>31500-2500-1536.1</f>
        <v>27463.9</v>
      </c>
      <c r="H73" s="48"/>
      <c r="I73" s="46"/>
      <c r="J73" s="47"/>
      <c r="K73" s="47"/>
    </row>
    <row r="74" spans="1:11" s="3" customFormat="1" ht="70.5" customHeight="1" x14ac:dyDescent="0.25">
      <c r="A74" s="83"/>
      <c r="B74" s="86" t="s">
        <v>15</v>
      </c>
      <c r="C74" s="87" t="s">
        <v>103</v>
      </c>
      <c r="D74" s="86" t="s">
        <v>12</v>
      </c>
      <c r="E74" s="91" t="s">
        <v>99</v>
      </c>
      <c r="F74" s="20">
        <f>G74+H74+I74</f>
        <v>9000</v>
      </c>
      <c r="G74" s="48">
        <f>6634-1000</f>
        <v>5634</v>
      </c>
      <c r="H74" s="48">
        <v>3350</v>
      </c>
      <c r="I74" s="48">
        <v>16</v>
      </c>
      <c r="J74" s="47"/>
      <c r="K74" s="47"/>
    </row>
    <row r="75" spans="1:11" s="3" customFormat="1" ht="48" customHeight="1" x14ac:dyDescent="0.25">
      <c r="A75" s="83"/>
      <c r="B75" s="86" t="s">
        <v>15</v>
      </c>
      <c r="C75" s="87" t="s">
        <v>104</v>
      </c>
      <c r="D75" s="86" t="s">
        <v>12</v>
      </c>
      <c r="E75" s="91" t="s">
        <v>100</v>
      </c>
      <c r="F75" s="20">
        <f t="shared" ref="F75:F77" si="11">G75+H75+I75</f>
        <v>8000</v>
      </c>
      <c r="G75" s="48">
        <v>4490</v>
      </c>
      <c r="H75" s="48">
        <v>3350</v>
      </c>
      <c r="I75" s="48">
        <v>160</v>
      </c>
      <c r="J75" s="47"/>
      <c r="K75" s="47"/>
    </row>
    <row r="76" spans="1:11" s="3" customFormat="1" ht="48" customHeight="1" x14ac:dyDescent="0.25">
      <c r="A76" s="83"/>
      <c r="B76" s="86" t="s">
        <v>15</v>
      </c>
      <c r="C76" s="87" t="s">
        <v>105</v>
      </c>
      <c r="D76" s="86" t="s">
        <v>12</v>
      </c>
      <c r="E76" s="91" t="s">
        <v>101</v>
      </c>
      <c r="F76" s="20">
        <f t="shared" si="11"/>
        <v>7563.1</v>
      </c>
      <c r="G76" s="48">
        <f>4490-436.9</f>
        <v>4053.1</v>
      </c>
      <c r="H76" s="48">
        <v>3350</v>
      </c>
      <c r="I76" s="48">
        <v>160</v>
      </c>
      <c r="J76" s="47"/>
      <c r="K76" s="47"/>
    </row>
    <row r="77" spans="1:11" s="3" customFormat="1" ht="45" customHeight="1" x14ac:dyDescent="0.25">
      <c r="A77" s="83"/>
      <c r="B77" s="86" t="s">
        <v>15</v>
      </c>
      <c r="C77" s="87" t="s">
        <v>106</v>
      </c>
      <c r="D77" s="86" t="s">
        <v>12</v>
      </c>
      <c r="E77" s="91" t="s">
        <v>102</v>
      </c>
      <c r="F77" s="20">
        <f t="shared" si="11"/>
        <v>15000</v>
      </c>
      <c r="G77" s="48">
        <v>11615</v>
      </c>
      <c r="H77" s="48">
        <v>3350</v>
      </c>
      <c r="I77" s="48">
        <v>35</v>
      </c>
      <c r="J77" s="47"/>
      <c r="K77" s="47"/>
    </row>
    <row r="78" spans="1:11" s="3" customFormat="1" ht="46.5" customHeight="1" x14ac:dyDescent="0.25">
      <c r="A78" s="83"/>
      <c r="B78" s="86" t="s">
        <v>15</v>
      </c>
      <c r="C78" s="87" t="s">
        <v>69</v>
      </c>
      <c r="D78" s="86" t="s">
        <v>12</v>
      </c>
      <c r="E78" s="91" t="s">
        <v>123</v>
      </c>
      <c r="F78" s="20">
        <f>G78+H78</f>
        <v>10000</v>
      </c>
      <c r="G78" s="20">
        <v>10000</v>
      </c>
      <c r="H78" s="20"/>
      <c r="I78" s="46"/>
      <c r="J78" s="47"/>
      <c r="K78" s="47"/>
    </row>
    <row r="79" spans="1:11" s="3" customFormat="1" ht="42" customHeight="1" x14ac:dyDescent="0.25">
      <c r="A79" s="83"/>
      <c r="B79" s="86" t="s">
        <v>15</v>
      </c>
      <c r="C79" s="87" t="s">
        <v>69</v>
      </c>
      <c r="D79" s="86" t="s">
        <v>12</v>
      </c>
      <c r="E79" s="91" t="s">
        <v>144</v>
      </c>
      <c r="F79" s="20">
        <f>G79+H79</f>
        <v>292.10000000000002</v>
      </c>
      <c r="G79" s="20">
        <v>292.10000000000002</v>
      </c>
      <c r="H79" s="20"/>
      <c r="I79" s="46"/>
      <c r="J79" s="47"/>
      <c r="K79" s="47"/>
    </row>
    <row r="80" spans="1:11" s="3" customFormat="1" ht="42" customHeight="1" x14ac:dyDescent="0.25">
      <c r="A80" s="83"/>
      <c r="B80" s="86" t="s">
        <v>15</v>
      </c>
      <c r="C80" s="87" t="s">
        <v>69</v>
      </c>
      <c r="D80" s="86" t="s">
        <v>12</v>
      </c>
      <c r="E80" s="91" t="s">
        <v>52</v>
      </c>
      <c r="F80" s="20">
        <f t="shared" si="10"/>
        <v>8564.4000000000015</v>
      </c>
      <c r="G80" s="48">
        <f>4500+2500+1564+2856-100-12.2-3500+13.9-500+1000+12242.7-12000</f>
        <v>8564.4000000000015</v>
      </c>
      <c r="H80" s="48"/>
      <c r="I80" s="46"/>
      <c r="J80" s="47"/>
      <c r="K80" s="49"/>
    </row>
    <row r="81" spans="1:11" s="3" customFormat="1" ht="30.75" customHeight="1" x14ac:dyDescent="0.25">
      <c r="A81" s="83"/>
      <c r="B81" s="24" t="s">
        <v>17</v>
      </c>
      <c r="C81" s="22"/>
      <c r="D81" s="24"/>
      <c r="E81" s="89" t="s">
        <v>18</v>
      </c>
      <c r="F81" s="14">
        <f>G81+H81+I81</f>
        <v>168607.3</v>
      </c>
      <c r="G81" s="14">
        <f>G84+G89+G82</f>
        <v>83007.7</v>
      </c>
      <c r="H81" s="14">
        <f t="shared" ref="H81:I81" si="12">H84+H89+H82</f>
        <v>72599.600000000006</v>
      </c>
      <c r="I81" s="14">
        <f t="shared" si="12"/>
        <v>13000</v>
      </c>
      <c r="J81" s="47"/>
      <c r="K81" s="47"/>
    </row>
    <row r="82" spans="1:11" s="3" customFormat="1" ht="29.25" customHeight="1" x14ac:dyDescent="0.25">
      <c r="A82" s="83"/>
      <c r="B82" s="22" t="s">
        <v>19</v>
      </c>
      <c r="C82" s="22"/>
      <c r="D82" s="22"/>
      <c r="E82" s="92" t="s">
        <v>20</v>
      </c>
      <c r="F82" s="14">
        <f>G82+H82</f>
        <v>7100</v>
      </c>
      <c r="G82" s="14">
        <f>G83</f>
        <v>7100</v>
      </c>
      <c r="H82" s="20"/>
      <c r="I82" s="46"/>
      <c r="J82" s="47"/>
      <c r="K82" s="47"/>
    </row>
    <row r="83" spans="1:11" s="3" customFormat="1" ht="39" customHeight="1" x14ac:dyDescent="0.25">
      <c r="A83" s="83"/>
      <c r="B83" s="87" t="s">
        <v>19</v>
      </c>
      <c r="C83" s="87" t="s">
        <v>66</v>
      </c>
      <c r="D83" s="87" t="s">
        <v>12</v>
      </c>
      <c r="E83" s="50" t="s">
        <v>52</v>
      </c>
      <c r="F83" s="20">
        <f>G83+H83</f>
        <v>7100</v>
      </c>
      <c r="G83" s="20">
        <f>4000+5000-1600-300</f>
        <v>7100</v>
      </c>
      <c r="H83" s="20"/>
      <c r="I83" s="46"/>
      <c r="J83" s="47"/>
      <c r="K83" s="47"/>
    </row>
    <row r="84" spans="1:11" s="3" customFormat="1" ht="27.75" customHeight="1" x14ac:dyDescent="0.25">
      <c r="A84" s="83"/>
      <c r="B84" s="24" t="s">
        <v>116</v>
      </c>
      <c r="C84" s="22"/>
      <c r="D84" s="24"/>
      <c r="E84" s="69" t="s">
        <v>115</v>
      </c>
      <c r="F84" s="14">
        <f>G84+H84+I84</f>
        <v>158764.29999999999</v>
      </c>
      <c r="G84" s="14">
        <f>G85+G86+G88+G87</f>
        <v>73164.7</v>
      </c>
      <c r="H84" s="14">
        <f>H85+H86+H88+H87</f>
        <v>72599.600000000006</v>
      </c>
      <c r="I84" s="14">
        <f>I85+I86+I88+I87</f>
        <v>13000</v>
      </c>
      <c r="J84" s="47"/>
      <c r="K84" s="47"/>
    </row>
    <row r="85" spans="1:11" s="3" customFormat="1" ht="33" customHeight="1" x14ac:dyDescent="0.25">
      <c r="A85" s="83"/>
      <c r="B85" s="110" t="s">
        <v>116</v>
      </c>
      <c r="C85" s="54" t="s">
        <v>125</v>
      </c>
      <c r="D85" s="110" t="s">
        <v>12</v>
      </c>
      <c r="E85" s="119" t="s">
        <v>133</v>
      </c>
      <c r="F85" s="20">
        <f>G85+H85+I85</f>
        <v>57504.7</v>
      </c>
      <c r="G85" s="20">
        <v>4025.5</v>
      </c>
      <c r="H85" s="20">
        <v>53479.199999999997</v>
      </c>
      <c r="I85" s="46"/>
      <c r="J85" s="47"/>
      <c r="K85" s="47"/>
    </row>
    <row r="86" spans="1:11" s="3" customFormat="1" ht="34.5" customHeight="1" x14ac:dyDescent="0.25">
      <c r="A86" s="83"/>
      <c r="B86" s="110"/>
      <c r="C86" s="87" t="s">
        <v>117</v>
      </c>
      <c r="D86" s="110"/>
      <c r="E86" s="119"/>
      <c r="F86" s="20">
        <f>G86+H86+I86</f>
        <v>20559.600000000002</v>
      </c>
      <c r="G86" s="20">
        <v>1439.2</v>
      </c>
      <c r="H86" s="20">
        <f>11854.6+7265.8</f>
        <v>19120.400000000001</v>
      </c>
      <c r="I86" s="46"/>
      <c r="J86" s="47"/>
      <c r="K86" s="47"/>
    </row>
    <row r="87" spans="1:11" s="3" customFormat="1" ht="71.25" customHeight="1" x14ac:dyDescent="0.25">
      <c r="A87" s="83"/>
      <c r="B87" s="86" t="s">
        <v>116</v>
      </c>
      <c r="C87" s="54" t="s">
        <v>66</v>
      </c>
      <c r="D87" s="86" t="s">
        <v>12</v>
      </c>
      <c r="E87" s="91" t="s">
        <v>120</v>
      </c>
      <c r="F87" s="20">
        <f>G87+H87+I87</f>
        <v>75700</v>
      </c>
      <c r="G87" s="20">
        <f>114000-38000-13300</f>
        <v>62700</v>
      </c>
      <c r="H87" s="20"/>
      <c r="I87" s="20">
        <v>13000</v>
      </c>
      <c r="J87" s="47"/>
      <c r="K87" s="49"/>
    </row>
    <row r="88" spans="1:11" s="3" customFormat="1" ht="39.75" customHeight="1" x14ac:dyDescent="0.25">
      <c r="A88" s="83"/>
      <c r="B88" s="86" t="s">
        <v>116</v>
      </c>
      <c r="C88" s="54" t="s">
        <v>66</v>
      </c>
      <c r="D88" s="86" t="s">
        <v>12</v>
      </c>
      <c r="E88" s="50" t="s">
        <v>52</v>
      </c>
      <c r="F88" s="20">
        <f>G88+H88+I88</f>
        <v>5000</v>
      </c>
      <c r="G88" s="20">
        <v>5000</v>
      </c>
      <c r="H88" s="20"/>
      <c r="I88" s="46"/>
      <c r="J88" s="47"/>
      <c r="K88" s="47"/>
    </row>
    <row r="89" spans="1:11" ht="38.25" customHeight="1" x14ac:dyDescent="0.25">
      <c r="A89" s="82"/>
      <c r="B89" s="22" t="s">
        <v>61</v>
      </c>
      <c r="C89" s="51"/>
      <c r="D89" s="87"/>
      <c r="E89" s="52" t="s">
        <v>62</v>
      </c>
      <c r="F89" s="14">
        <f t="shared" ref="F89:F90" si="13">G89+H89</f>
        <v>2743</v>
      </c>
      <c r="G89" s="14">
        <f>SUM(G90:G90)</f>
        <v>2743</v>
      </c>
      <c r="H89" s="14"/>
      <c r="I89" s="44"/>
      <c r="J89" s="45"/>
      <c r="K89" s="45"/>
    </row>
    <row r="90" spans="1:11" ht="45.75" customHeight="1" x14ac:dyDescent="0.25">
      <c r="A90" s="82"/>
      <c r="B90" s="87" t="s">
        <v>61</v>
      </c>
      <c r="C90" s="87" t="s">
        <v>66</v>
      </c>
      <c r="D90" s="87" t="s">
        <v>12</v>
      </c>
      <c r="E90" s="53" t="s">
        <v>89</v>
      </c>
      <c r="F90" s="20">
        <f t="shared" si="13"/>
        <v>2743</v>
      </c>
      <c r="G90" s="20">
        <f>7038.5-4295.5</f>
        <v>2743</v>
      </c>
      <c r="H90" s="20"/>
      <c r="I90" s="44"/>
      <c r="J90" s="45"/>
      <c r="K90" s="45"/>
    </row>
    <row r="91" spans="1:11" ht="30" customHeight="1" x14ac:dyDescent="0.25">
      <c r="A91" s="82"/>
      <c r="B91" s="22" t="s">
        <v>33</v>
      </c>
      <c r="C91" s="87"/>
      <c r="D91" s="87"/>
      <c r="E91" s="89" t="s">
        <v>34</v>
      </c>
      <c r="F91" s="14">
        <f t="shared" si="1"/>
        <v>30319</v>
      </c>
      <c r="G91" s="14">
        <f>G92+G95</f>
        <v>30319</v>
      </c>
      <c r="H91" s="14"/>
      <c r="I91" s="44"/>
      <c r="J91" s="45"/>
      <c r="K91" s="45"/>
    </row>
    <row r="92" spans="1:11" ht="30" customHeight="1" x14ac:dyDescent="0.25">
      <c r="A92" s="82"/>
      <c r="B92" s="22" t="s">
        <v>59</v>
      </c>
      <c r="C92" s="22"/>
      <c r="D92" s="22"/>
      <c r="E92" s="89" t="s">
        <v>58</v>
      </c>
      <c r="F92" s="14">
        <f t="shared" si="1"/>
        <v>26254</v>
      </c>
      <c r="G92" s="14">
        <f>SUM(G93:G94)</f>
        <v>26254</v>
      </c>
      <c r="H92" s="14"/>
      <c r="I92" s="44"/>
      <c r="J92" s="45"/>
      <c r="K92" s="45"/>
    </row>
    <row r="93" spans="1:11" ht="46.5" customHeight="1" x14ac:dyDescent="0.25">
      <c r="A93" s="82"/>
      <c r="B93" s="87" t="s">
        <v>59</v>
      </c>
      <c r="C93" s="54" t="s">
        <v>108</v>
      </c>
      <c r="D93" s="87" t="s">
        <v>12</v>
      </c>
      <c r="E93" s="50" t="s">
        <v>134</v>
      </c>
      <c r="F93" s="20">
        <f t="shared" ref="F93:F94" si="14">G93+H93</f>
        <v>2500</v>
      </c>
      <c r="G93" s="20">
        <f>3000-500</f>
        <v>2500</v>
      </c>
      <c r="H93" s="20"/>
      <c r="I93" s="44"/>
      <c r="J93" s="45"/>
      <c r="K93" s="45"/>
    </row>
    <row r="94" spans="1:11" ht="44.25" customHeight="1" x14ac:dyDescent="0.25">
      <c r="A94" s="82"/>
      <c r="B94" s="87" t="s">
        <v>59</v>
      </c>
      <c r="C94" s="54" t="s">
        <v>108</v>
      </c>
      <c r="D94" s="87" t="s">
        <v>12</v>
      </c>
      <c r="E94" s="50" t="s">
        <v>52</v>
      </c>
      <c r="F94" s="20">
        <f t="shared" si="14"/>
        <v>23754</v>
      </c>
      <c r="G94" s="20">
        <f>354+5000+1600+16800</f>
        <v>23754</v>
      </c>
      <c r="H94" s="20"/>
      <c r="I94" s="44"/>
      <c r="J94" s="45"/>
      <c r="K94" s="45"/>
    </row>
    <row r="95" spans="1:11" ht="39" customHeight="1" x14ac:dyDescent="0.25">
      <c r="A95" s="82"/>
      <c r="B95" s="22" t="s">
        <v>63</v>
      </c>
      <c r="C95" s="22"/>
      <c r="D95" s="22"/>
      <c r="E95" s="89" t="s">
        <v>64</v>
      </c>
      <c r="F95" s="14">
        <f t="shared" si="1"/>
        <v>4065</v>
      </c>
      <c r="G95" s="14">
        <f>SUM(G96:G96)</f>
        <v>4065</v>
      </c>
      <c r="H95" s="14"/>
      <c r="I95" s="44"/>
      <c r="J95" s="45"/>
      <c r="K95" s="45"/>
    </row>
    <row r="96" spans="1:11" ht="48" customHeight="1" x14ac:dyDescent="0.25">
      <c r="A96" s="82"/>
      <c r="B96" s="87" t="s">
        <v>63</v>
      </c>
      <c r="C96" s="86" t="s">
        <v>60</v>
      </c>
      <c r="D96" s="87" t="s">
        <v>12</v>
      </c>
      <c r="E96" s="50" t="s">
        <v>52</v>
      </c>
      <c r="F96" s="20">
        <f t="shared" ref="F96:F99" si="15">G96+H96</f>
        <v>4065</v>
      </c>
      <c r="G96" s="20">
        <f>4000+2751.4+2048.6-235-4500</f>
        <v>4065</v>
      </c>
      <c r="H96" s="20"/>
      <c r="I96" s="44"/>
      <c r="J96" s="45"/>
      <c r="K96" s="45"/>
    </row>
    <row r="97" spans="1:11" ht="28.5" customHeight="1" x14ac:dyDescent="0.25">
      <c r="A97" s="82"/>
      <c r="B97" s="22" t="s">
        <v>46</v>
      </c>
      <c r="C97" s="70"/>
      <c r="D97" s="22"/>
      <c r="E97" s="60" t="s">
        <v>47</v>
      </c>
      <c r="F97" s="14">
        <f t="shared" si="15"/>
        <v>3000</v>
      </c>
      <c r="G97" s="14">
        <f>G98</f>
        <v>3000</v>
      </c>
      <c r="H97" s="14"/>
      <c r="I97" s="44"/>
      <c r="J97" s="45"/>
      <c r="K97" s="45"/>
    </row>
    <row r="98" spans="1:11" ht="27.75" customHeight="1" x14ac:dyDescent="0.25">
      <c r="A98" s="82"/>
      <c r="B98" s="22" t="s">
        <v>136</v>
      </c>
      <c r="C98" s="22"/>
      <c r="D98" s="22"/>
      <c r="E98" s="101" t="s">
        <v>137</v>
      </c>
      <c r="F98" s="14">
        <f t="shared" si="15"/>
        <v>3000</v>
      </c>
      <c r="G98" s="14">
        <f>G99</f>
        <v>3000</v>
      </c>
      <c r="H98" s="14"/>
      <c r="I98" s="44"/>
      <c r="J98" s="45"/>
      <c r="K98" s="45"/>
    </row>
    <row r="99" spans="1:11" ht="57.75" customHeight="1" x14ac:dyDescent="0.25">
      <c r="A99" s="82"/>
      <c r="B99" s="87" t="s">
        <v>136</v>
      </c>
      <c r="C99" s="87" t="s">
        <v>147</v>
      </c>
      <c r="D99" s="87" t="s">
        <v>12</v>
      </c>
      <c r="E99" s="107" t="s">
        <v>146</v>
      </c>
      <c r="F99" s="20">
        <f t="shared" si="15"/>
        <v>3000</v>
      </c>
      <c r="G99" s="20">
        <v>3000</v>
      </c>
      <c r="H99" s="20"/>
      <c r="I99" s="44"/>
      <c r="J99" s="45"/>
      <c r="K99" s="45"/>
    </row>
    <row r="100" spans="1:11" ht="39" customHeight="1" x14ac:dyDescent="0.25">
      <c r="A100" s="82"/>
      <c r="B100" s="116" t="s">
        <v>26</v>
      </c>
      <c r="C100" s="116"/>
      <c r="D100" s="116"/>
      <c r="E100" s="116"/>
      <c r="F100" s="14">
        <f t="shared" si="1"/>
        <v>1884.8999999999999</v>
      </c>
      <c r="G100" s="14">
        <f>G101+G104</f>
        <v>194.6</v>
      </c>
      <c r="H100" s="14">
        <f>H101+H104</f>
        <v>1690.3</v>
      </c>
      <c r="I100" s="44"/>
      <c r="J100" s="55"/>
      <c r="K100" s="55"/>
    </row>
    <row r="101" spans="1:11" ht="30" customHeight="1" x14ac:dyDescent="0.25">
      <c r="A101" s="82"/>
      <c r="B101" s="22" t="s">
        <v>13</v>
      </c>
      <c r="C101" s="86"/>
      <c r="D101" s="86"/>
      <c r="E101" s="89" t="s">
        <v>14</v>
      </c>
      <c r="F101" s="14">
        <f t="shared" si="1"/>
        <v>124.6</v>
      </c>
      <c r="G101" s="14">
        <f>G102</f>
        <v>124.6</v>
      </c>
      <c r="H101" s="14"/>
      <c r="I101" s="44"/>
      <c r="J101" s="56"/>
      <c r="K101" s="56"/>
    </row>
    <row r="102" spans="1:11" ht="29.25" customHeight="1" x14ac:dyDescent="0.25">
      <c r="A102" s="82"/>
      <c r="B102" s="24" t="s">
        <v>27</v>
      </c>
      <c r="C102" s="11"/>
      <c r="D102" s="11"/>
      <c r="E102" s="32" t="s">
        <v>28</v>
      </c>
      <c r="F102" s="14">
        <f t="shared" si="1"/>
        <v>124.6</v>
      </c>
      <c r="G102" s="14">
        <f>G103</f>
        <v>124.6</v>
      </c>
      <c r="H102" s="14"/>
      <c r="I102" s="44"/>
      <c r="J102" s="56"/>
      <c r="K102" s="56"/>
    </row>
    <row r="103" spans="1:11" ht="55.5" customHeight="1" x14ac:dyDescent="0.25">
      <c r="A103" s="82"/>
      <c r="B103" s="74" t="s">
        <v>27</v>
      </c>
      <c r="C103" s="76" t="s">
        <v>57</v>
      </c>
      <c r="D103" s="74">
        <v>200</v>
      </c>
      <c r="E103" s="28" t="s">
        <v>29</v>
      </c>
      <c r="F103" s="20">
        <f t="shared" si="1"/>
        <v>124.6</v>
      </c>
      <c r="G103" s="48">
        <f>35+89.6</f>
        <v>124.6</v>
      </c>
      <c r="H103" s="20"/>
      <c r="I103" s="44"/>
      <c r="J103" s="56"/>
      <c r="K103" s="56"/>
    </row>
    <row r="104" spans="1:11" ht="30" customHeight="1" x14ac:dyDescent="0.25">
      <c r="A104" s="82"/>
      <c r="B104" s="24" t="s">
        <v>21</v>
      </c>
      <c r="C104" s="30"/>
      <c r="D104" s="31"/>
      <c r="E104" s="32" t="s">
        <v>22</v>
      </c>
      <c r="F104" s="14">
        <f t="shared" si="1"/>
        <v>1760.3</v>
      </c>
      <c r="G104" s="14">
        <f>G105</f>
        <v>70</v>
      </c>
      <c r="H104" s="14">
        <f>H105</f>
        <v>1690.3</v>
      </c>
      <c r="I104" s="44"/>
      <c r="J104" s="56"/>
      <c r="K104" s="56"/>
    </row>
    <row r="105" spans="1:11" ht="30" customHeight="1" x14ac:dyDescent="0.25">
      <c r="A105" s="82"/>
      <c r="B105" s="24" t="s">
        <v>23</v>
      </c>
      <c r="C105" s="30"/>
      <c r="D105" s="31"/>
      <c r="E105" s="73" t="s">
        <v>24</v>
      </c>
      <c r="F105" s="14">
        <f t="shared" si="1"/>
        <v>1760.3</v>
      </c>
      <c r="G105" s="14">
        <f>SUM(G106:G107)</f>
        <v>70</v>
      </c>
      <c r="H105" s="14">
        <f>SUM(H106:H107)</f>
        <v>1690.3</v>
      </c>
      <c r="I105" s="44"/>
      <c r="J105" s="56"/>
      <c r="K105" s="56"/>
    </row>
    <row r="106" spans="1:11" ht="40.5" customHeight="1" x14ac:dyDescent="0.25">
      <c r="A106" s="82"/>
      <c r="B106" s="110" t="s">
        <v>23</v>
      </c>
      <c r="C106" s="74" t="s">
        <v>68</v>
      </c>
      <c r="D106" s="110" t="s">
        <v>12</v>
      </c>
      <c r="E106" s="118" t="s">
        <v>25</v>
      </c>
      <c r="F106" s="20">
        <f t="shared" si="1"/>
        <v>70</v>
      </c>
      <c r="G106" s="20">
        <v>70</v>
      </c>
      <c r="H106" s="14"/>
      <c r="I106" s="44"/>
      <c r="J106" s="56"/>
      <c r="K106" s="56"/>
    </row>
    <row r="107" spans="1:11" ht="39" customHeight="1" x14ac:dyDescent="0.25">
      <c r="A107" s="82"/>
      <c r="B107" s="110"/>
      <c r="C107" s="74" t="s">
        <v>67</v>
      </c>
      <c r="D107" s="110"/>
      <c r="E107" s="118"/>
      <c r="F107" s="20">
        <f>H107</f>
        <v>1690.3</v>
      </c>
      <c r="G107" s="20"/>
      <c r="H107" s="48">
        <v>1690.3</v>
      </c>
      <c r="I107" s="44"/>
      <c r="J107" s="56"/>
      <c r="K107" s="56"/>
    </row>
    <row r="108" spans="1:11" ht="45.75" customHeight="1" x14ac:dyDescent="0.25">
      <c r="A108" s="82"/>
      <c r="B108" s="116" t="s">
        <v>126</v>
      </c>
      <c r="C108" s="116"/>
      <c r="D108" s="116"/>
      <c r="E108" s="116"/>
      <c r="F108" s="14">
        <f t="shared" ref="F108:F113" si="16">G108+H108</f>
        <v>110191.40000000001</v>
      </c>
      <c r="G108" s="14">
        <f>G109</f>
        <v>433.6</v>
      </c>
      <c r="H108" s="14">
        <f>H109</f>
        <v>109757.8</v>
      </c>
      <c r="I108" s="44"/>
      <c r="J108" s="56"/>
      <c r="K108" s="56"/>
    </row>
    <row r="109" spans="1:11" ht="30" customHeight="1" x14ac:dyDescent="0.25">
      <c r="A109" s="82"/>
      <c r="B109" s="57" t="s">
        <v>21</v>
      </c>
      <c r="C109" s="58"/>
      <c r="D109" s="59"/>
      <c r="E109" s="60" t="s">
        <v>22</v>
      </c>
      <c r="F109" s="14">
        <f t="shared" si="16"/>
        <v>110191.40000000001</v>
      </c>
      <c r="G109" s="14">
        <f>G110</f>
        <v>433.6</v>
      </c>
      <c r="H109" s="14">
        <f>H110</f>
        <v>109757.8</v>
      </c>
      <c r="I109" s="44"/>
      <c r="J109" s="56"/>
      <c r="K109" s="56"/>
    </row>
    <row r="110" spans="1:11" ht="30" customHeight="1" x14ac:dyDescent="0.25">
      <c r="A110" s="82"/>
      <c r="B110" s="22" t="s">
        <v>23</v>
      </c>
      <c r="C110" s="61"/>
      <c r="D110" s="61"/>
      <c r="E110" s="62" t="s">
        <v>24</v>
      </c>
      <c r="F110" s="14">
        <f t="shared" si="16"/>
        <v>110191.40000000001</v>
      </c>
      <c r="G110" s="14">
        <f>G111+G112+G113</f>
        <v>433.6</v>
      </c>
      <c r="H110" s="14">
        <f>H111+H112+H113</f>
        <v>109757.8</v>
      </c>
      <c r="I110" s="44"/>
      <c r="J110" s="56"/>
      <c r="K110" s="56"/>
    </row>
    <row r="111" spans="1:11" ht="79.5" customHeight="1" x14ac:dyDescent="0.25">
      <c r="A111" s="82"/>
      <c r="B111" s="76" t="s">
        <v>23</v>
      </c>
      <c r="C111" s="76" t="s">
        <v>127</v>
      </c>
      <c r="D111" s="76" t="s">
        <v>11</v>
      </c>
      <c r="E111" s="75" t="s">
        <v>128</v>
      </c>
      <c r="F111" s="20">
        <f t="shared" si="16"/>
        <v>103997.2</v>
      </c>
      <c r="G111" s="20"/>
      <c r="H111" s="48">
        <v>103997.2</v>
      </c>
      <c r="I111" s="63"/>
      <c r="J111" s="56"/>
      <c r="K111" s="56"/>
    </row>
    <row r="112" spans="1:11" ht="37.5" customHeight="1" x14ac:dyDescent="0.25">
      <c r="A112" s="82"/>
      <c r="B112" s="112" t="s">
        <v>23</v>
      </c>
      <c r="C112" s="76" t="s">
        <v>129</v>
      </c>
      <c r="D112" s="112" t="s">
        <v>11</v>
      </c>
      <c r="E112" s="118" t="s">
        <v>130</v>
      </c>
      <c r="F112" s="20">
        <f t="shared" si="16"/>
        <v>433.6</v>
      </c>
      <c r="G112" s="48">
        <v>433.6</v>
      </c>
      <c r="H112" s="48"/>
      <c r="I112" s="63"/>
      <c r="J112" s="56"/>
      <c r="K112" s="56"/>
    </row>
    <row r="113" spans="1:11" ht="37.5" customHeight="1" x14ac:dyDescent="0.25">
      <c r="A113" s="82"/>
      <c r="B113" s="112"/>
      <c r="C113" s="76" t="s">
        <v>131</v>
      </c>
      <c r="D113" s="112"/>
      <c r="E113" s="118"/>
      <c r="F113" s="20">
        <f t="shared" si="16"/>
        <v>5760.6</v>
      </c>
      <c r="G113" s="20"/>
      <c r="H113" s="48">
        <v>5760.6</v>
      </c>
      <c r="I113" s="63"/>
      <c r="J113" s="56"/>
      <c r="K113" s="56"/>
    </row>
    <row r="114" spans="1:11" s="64" customFormat="1" ht="32.25" customHeight="1" x14ac:dyDescent="0.25">
      <c r="A114" s="84"/>
      <c r="B114" s="117" t="s">
        <v>132</v>
      </c>
      <c r="C114" s="117"/>
      <c r="D114" s="117"/>
      <c r="E114" s="117"/>
      <c r="F114" s="14">
        <f t="shared" ref="F114" si="17">G114+H114+I114</f>
        <v>3343</v>
      </c>
      <c r="G114" s="14">
        <f t="shared" ref="G114:H116" si="18">G115</f>
        <v>643</v>
      </c>
      <c r="H114" s="14">
        <f t="shared" si="18"/>
        <v>2700</v>
      </c>
      <c r="I114" s="14"/>
      <c r="J114" s="56"/>
      <c r="K114" s="56"/>
    </row>
    <row r="115" spans="1:11" s="64" customFormat="1" ht="30" customHeight="1" x14ac:dyDescent="0.25">
      <c r="A115" s="84"/>
      <c r="B115" s="22" t="s">
        <v>13</v>
      </c>
      <c r="C115" s="65"/>
      <c r="D115" s="76"/>
      <c r="E115" s="72" t="s">
        <v>14</v>
      </c>
      <c r="F115" s="14">
        <f>G115+H115</f>
        <v>3343</v>
      </c>
      <c r="G115" s="14">
        <f t="shared" si="18"/>
        <v>643</v>
      </c>
      <c r="H115" s="14">
        <f t="shared" si="18"/>
        <v>2700</v>
      </c>
      <c r="I115" s="63"/>
      <c r="J115" s="56"/>
      <c r="K115" s="56"/>
    </row>
    <row r="116" spans="1:11" s="64" customFormat="1" ht="27" customHeight="1" x14ac:dyDescent="0.25">
      <c r="A116" s="84"/>
      <c r="B116" s="22" t="s">
        <v>15</v>
      </c>
      <c r="C116" s="22"/>
      <c r="D116" s="76"/>
      <c r="E116" s="72" t="s">
        <v>16</v>
      </c>
      <c r="F116" s="14">
        <f>G116+H116</f>
        <v>3343</v>
      </c>
      <c r="G116" s="14">
        <f t="shared" si="18"/>
        <v>643</v>
      </c>
      <c r="H116" s="14">
        <f t="shared" si="18"/>
        <v>2700</v>
      </c>
      <c r="I116" s="63"/>
      <c r="J116" s="56"/>
      <c r="K116" s="56"/>
    </row>
    <row r="117" spans="1:11" s="64" customFormat="1" ht="41.25" customHeight="1" x14ac:dyDescent="0.25">
      <c r="A117" s="84"/>
      <c r="B117" s="76" t="s">
        <v>15</v>
      </c>
      <c r="C117" s="76" t="s">
        <v>110</v>
      </c>
      <c r="D117" s="76" t="s">
        <v>12</v>
      </c>
      <c r="E117" s="28" t="s">
        <v>111</v>
      </c>
      <c r="F117" s="20">
        <f t="shared" ref="F117" si="19">G117+H117+I117</f>
        <v>3343</v>
      </c>
      <c r="G117" s="20">
        <v>643</v>
      </c>
      <c r="H117" s="20">
        <f>3000-300</f>
        <v>2700</v>
      </c>
      <c r="I117" s="63"/>
      <c r="J117" s="56"/>
      <c r="K117" s="56"/>
    </row>
    <row r="118" spans="1:11" s="7" customFormat="1" ht="27.75" customHeight="1" x14ac:dyDescent="0.25">
      <c r="A118" s="85"/>
      <c r="B118" s="115" t="s">
        <v>30</v>
      </c>
      <c r="C118" s="115"/>
      <c r="D118" s="115"/>
      <c r="E118" s="71"/>
      <c r="F118" s="14">
        <f>G118+H118+I118</f>
        <v>1250965.7000000002</v>
      </c>
      <c r="G118" s="14">
        <f>SUM(G16+G100+G108+G114)</f>
        <v>565936.80000000005</v>
      </c>
      <c r="H118" s="14">
        <f>SUM(H16+H100+H108+H114)</f>
        <v>660952.90000000014</v>
      </c>
      <c r="I118" s="14">
        <f>SUM(I16+I100+I108+I114)</f>
        <v>24076</v>
      </c>
    </row>
  </sheetData>
  <mergeCells count="48">
    <mergeCell ref="F4:I4"/>
    <mergeCell ref="E5:H5"/>
    <mergeCell ref="B6:H6"/>
    <mergeCell ref="B7:H7"/>
    <mergeCell ref="B8:H8"/>
    <mergeCell ref="B9:H9"/>
    <mergeCell ref="H13:H14"/>
    <mergeCell ref="G12:I12"/>
    <mergeCell ref="B10:H10"/>
    <mergeCell ref="B12:D12"/>
    <mergeCell ref="E12:E14"/>
    <mergeCell ref="F12:F14"/>
    <mergeCell ref="I13:I14"/>
    <mergeCell ref="B13:B14"/>
    <mergeCell ref="C13:C14"/>
    <mergeCell ref="D13:D14"/>
    <mergeCell ref="G13:G14"/>
    <mergeCell ref="B16:E16"/>
    <mergeCell ref="B17:E17"/>
    <mergeCell ref="B24:B26"/>
    <mergeCell ref="D24:D26"/>
    <mergeCell ref="E24:E26"/>
    <mergeCell ref="B118:D118"/>
    <mergeCell ref="B57:E57"/>
    <mergeCell ref="B114:E114"/>
    <mergeCell ref="B100:E100"/>
    <mergeCell ref="B106:B107"/>
    <mergeCell ref="D106:D107"/>
    <mergeCell ref="E106:E107"/>
    <mergeCell ref="B85:B86"/>
    <mergeCell ref="D85:D86"/>
    <mergeCell ref="E85:E86"/>
    <mergeCell ref="B108:E108"/>
    <mergeCell ref="B112:B113"/>
    <mergeCell ref="D112:D113"/>
    <mergeCell ref="E112:E113"/>
    <mergeCell ref="B30:B31"/>
    <mergeCell ref="C30:C31"/>
    <mergeCell ref="E30:E31"/>
    <mergeCell ref="B45:B47"/>
    <mergeCell ref="C45:C46"/>
    <mergeCell ref="E45:E47"/>
    <mergeCell ref="B53:B54"/>
    <mergeCell ref="D53:D54"/>
    <mergeCell ref="E53:E54"/>
    <mergeCell ref="B63:B64"/>
    <mergeCell ref="D63:D64"/>
    <mergeCell ref="E63:E64"/>
  </mergeCells>
  <pageMargins left="0.78740157480314965" right="0.78740157480314965" top="1.1811023622047245" bottom="0.59055118110236227" header="0.31496062992125984" footer="0.31496062992125984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</vt:lpstr>
      <vt:lpstr>'приложение '!Заголовки_для_печати</vt:lpstr>
      <vt:lpstr>'приложение '!Область_печати</vt:lpstr>
    </vt:vector>
  </TitlesOfParts>
  <Company>Krokoz™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goncharova</dc:creator>
  <cp:lastModifiedBy>User</cp:lastModifiedBy>
  <cp:lastPrinted>2026-04-27T09:49:27Z</cp:lastPrinted>
  <dcterms:created xsi:type="dcterms:W3CDTF">2017-11-08T08:25:33Z</dcterms:created>
  <dcterms:modified xsi:type="dcterms:W3CDTF">2026-04-27T09:50:22Z</dcterms:modified>
</cp:coreProperties>
</file>